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comments27.xml" ContentType="application/vnd.openxmlformats-officedocument.spreadsheetml.comments+xml"/>
  <Override PartName="/xl/drawings/drawing36.xml" ContentType="application/vnd.openxmlformats-officedocument.drawing+xml"/>
  <Override PartName="/xl/comments28.xml" ContentType="application/vnd.openxmlformats-officedocument.spreadsheetml.comments+xml"/>
  <Override PartName="/xl/drawings/drawing37.xml" ContentType="application/vnd.openxmlformats-officedocument.drawing+xml"/>
  <Override PartName="/xl/comments29.xml" ContentType="application/vnd.openxmlformats-officedocument.spreadsheetml.comments+xml"/>
  <Override PartName="/xl/drawings/drawing38.xml" ContentType="application/vnd.openxmlformats-officedocument.drawing+xml"/>
  <Override PartName="/xl/comments30.xml" ContentType="application/vnd.openxmlformats-officedocument.spreadsheetml.comments+xml"/>
  <Override PartName="/xl/drawings/drawing39.xml" ContentType="application/vnd.openxmlformats-officedocument.drawing+xml"/>
  <Override PartName="/xl/comments31.xml" ContentType="application/vnd.openxmlformats-officedocument.spreadsheetml.comments+xml"/>
  <Override PartName="/xl/drawings/drawing40.xml" ContentType="application/vnd.openxmlformats-officedocument.drawing+xml"/>
  <Override PartName="/xl/comments32.xml" ContentType="application/vnd.openxmlformats-officedocument.spreadsheetml.comments+xml"/>
  <Override PartName="/xl/drawings/drawing41.xml" ContentType="application/vnd.openxmlformats-officedocument.drawing+xml"/>
  <Override PartName="/xl/comments33.xml" ContentType="application/vnd.openxmlformats-officedocument.spreadsheetml.comments+xml"/>
  <Override PartName="/xl/drawings/drawing42.xml" ContentType="application/vnd.openxmlformats-officedocument.drawing+xml"/>
  <Override PartName="/xl/activeX/activeX13.xml" ContentType="application/vnd.ms-office.activeX+xml"/>
  <Override PartName="/xl/activeX/activeX13.bin" ContentType="application/vnd.ms-office.activeX"/>
  <Override PartName="/xl/comments34.xml" ContentType="application/vnd.openxmlformats-officedocument.spreadsheetml.comments+xml"/>
  <Override PartName="/xl/drawings/drawing43.xml" ContentType="application/vnd.openxmlformats-officedocument.drawing+xml"/>
  <Override PartName="/xl/comments35.xml" ContentType="application/vnd.openxmlformats-officedocument.spreadsheetml.comments+xml"/>
  <Override PartName="/xl/drawings/drawing44.xml" ContentType="application/vnd.openxmlformats-officedocument.drawing+xml"/>
  <Override PartName="/xl/comments36.xml" ContentType="application/vnd.openxmlformats-officedocument.spreadsheetml.comments+xml"/>
  <Override PartName="/xl/drawings/drawing45.xml" ContentType="application/vnd.openxmlformats-officedocument.drawing+xml"/>
  <Override PartName="/xl/comments37.xml" ContentType="application/vnd.openxmlformats-officedocument.spreadsheetml.comments+xml"/>
  <Override PartName="/xl/drawings/drawing46.xml" ContentType="application/vnd.openxmlformats-officedocument.drawing+xml"/>
  <Override PartName="/xl/comments38.xml" ContentType="application/vnd.openxmlformats-officedocument.spreadsheetml.comments+xml"/>
  <Override PartName="/xl/drawings/drawing47.xml" ContentType="application/vnd.openxmlformats-officedocument.drawing+xml"/>
  <Override PartName="/xl/comments39.xml" ContentType="application/vnd.openxmlformats-officedocument.spreadsheetml.comments+xml"/>
  <Override PartName="/xl/drawings/drawing48.xml" ContentType="application/vnd.openxmlformats-officedocument.drawing+xml"/>
  <Override PartName="/xl/comments40.xml" ContentType="application/vnd.openxmlformats-officedocument.spreadsheetml.comments+xml"/>
  <Override PartName="/xl/drawings/drawing49.xml" ContentType="application/vnd.openxmlformats-officedocument.drawing+xml"/>
  <Override PartName="/xl/comments41.xml" ContentType="application/vnd.openxmlformats-officedocument.spreadsheetml.comments+xml"/>
  <Override PartName="/xl/drawings/drawing50.xml" ContentType="application/vnd.openxmlformats-officedocument.drawing+xml"/>
  <Override PartName="/xl/comments42.xml" ContentType="application/vnd.openxmlformats-officedocument.spreadsheetml.comments+xml"/>
  <Override PartName="/xl/drawings/drawing51.xml" ContentType="application/vnd.openxmlformats-officedocument.drawing+xml"/>
  <Override PartName="/xl/comments43.xml" ContentType="application/vnd.openxmlformats-officedocument.spreadsheetml.comments+xml"/>
  <Override PartName="/xl/drawings/drawing52.xml" ContentType="application/vnd.openxmlformats-officedocument.drawing+xml"/>
  <Override PartName="/xl/comments44.xml" ContentType="application/vnd.openxmlformats-officedocument.spreadsheetml.comments+xml"/>
  <Override PartName="/xl/drawings/drawing53.xml" ContentType="application/vnd.openxmlformats-officedocument.drawing+xml"/>
  <Override PartName="/xl/comments4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8_{5F1AB35A-FBAD-41F5-9CB0-871CCDFC804F}" xr6:coauthVersionLast="47" xr6:coauthVersionMax="47" xr10:uidLastSave="{00000000-0000-0000-0000-000000000000}"/>
  <bookViews>
    <workbookView xWindow="345" yWindow="360" windowWidth="28800" windowHeight="15435" tabRatio="815" firstSheet="19" activeTab="42"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1" r:id="rId20"/>
    <sheet name="P (1)" sheetId="188" r:id="rId21"/>
    <sheet name="N (1)" sheetId="178" r:id="rId22"/>
    <sheet name="L (1)" sheetId="175" r:id="rId23"/>
    <sheet name="L (2)" sheetId="176" r:id="rId24"/>
    <sheet name="L (3)" sheetId="177" r:id="rId25"/>
    <sheet name="L (4)" sheetId="189" r:id="rId26"/>
    <sheet name="L (5)" sheetId="190" r:id="rId27"/>
    <sheet name="L (6)" sheetId="191" r:id="rId28"/>
    <sheet name="L (7)" sheetId="192" r:id="rId29"/>
    <sheet name="L (8)" sheetId="193" r:id="rId30"/>
    <sheet name="L (9)" sheetId="194" r:id="rId31"/>
    <sheet name="L (10)" sheetId="195" r:id="rId32"/>
    <sheet name="L (11)" sheetId="196" r:id="rId33"/>
    <sheet name="L (12)" sheetId="197" r:id="rId34"/>
    <sheet name="L (13)" sheetId="198" r:id="rId35"/>
    <sheet name="L (14)" sheetId="199" r:id="rId36"/>
    <sheet name="L (15)" sheetId="200" r:id="rId37"/>
    <sheet name="L (16)" sheetId="201" r:id="rId38"/>
    <sheet name="L (17)" sheetId="202" r:id="rId39"/>
    <sheet name="L (18)" sheetId="203" r:id="rId40"/>
    <sheet name="L (19)" sheetId="204" r:id="rId41"/>
    <sheet name="L (20)" sheetId="205" r:id="rId42"/>
    <sheet name="L (21)" sheetId="206" r:id="rId43"/>
    <sheet name="K (1)" sheetId="170" r:id="rId44"/>
    <sheet name="S (1)" sheetId="171" r:id="rId45"/>
    <sheet name="S (2)" sheetId="172" r:id="rId46"/>
    <sheet name="S (3)" sheetId="173" r:id="rId47"/>
    <sheet name="S (4)" sheetId="174" r:id="rId48"/>
    <sheet name="G (1)" sheetId="179" r:id="rId49"/>
    <sheet name="G (2)" sheetId="180" r:id="rId50"/>
    <sheet name="J (1)" sheetId="182" r:id="rId51"/>
    <sheet name="J (2)" sheetId="183" r:id="rId52"/>
    <sheet name="J (3)" sheetId="184" r:id="rId53"/>
    <sheet name="J (4)" sheetId="185" r:id="rId54"/>
    <sheet name="B (1)" sheetId="186" r:id="rId55"/>
  </sheets>
  <functionGroups builtInGroupCount="19"/>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localSheetId="54">tblFinishList[Finish Types]</definedName>
    <definedName name="masterFinishList" comment="Lists all the options for joist, girder, and bridging paint/finishes." localSheetId="19">tblFinishList[Finish Types]</definedName>
    <definedName name="masterFinishList" localSheetId="48">tblFinishList[Finish Types]</definedName>
    <definedName name="masterFinishList" localSheetId="49">tblFinishList[Finish Types]</definedName>
    <definedName name="masterFinishList" localSheetId="50">tblFinishList[Finish Types]</definedName>
    <definedName name="masterFinishList" localSheetId="51">tblFinishList[Finish Types]</definedName>
    <definedName name="masterFinishList" localSheetId="52">tblFinishList[Finish Types]</definedName>
    <definedName name="masterFinishList" localSheetId="53">tblFinishList[Finish Types]</definedName>
    <definedName name="masterFinishList" comment="Lists all the options for joist, girder, and bridging paint/finishes." localSheetId="43">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 localSheetId="35">tblFinishList[Finish Types]</definedName>
    <definedName name="masterFinishList" comment="Lists all the options for joist, girder, and bridging paint/finishes." localSheetId="36">tblFinishList[Finish Types]</definedName>
    <definedName name="masterFinishList" comment="Lists all the options for joist, girder, and bridging paint/finishes." localSheetId="37">tblFinishList[Finish Types]</definedName>
    <definedName name="masterFinishList" comment="Lists all the options for joist, girder, and bridging paint/finishes." localSheetId="38">tblFinishList[Finish Types]</definedName>
    <definedName name="masterFinishList" comment="Lists all the options for joist, girder, and bridging paint/finishes." localSheetId="39">tblFinishList[Finish Types]</definedName>
    <definedName name="masterFinishList" comment="Lists all the options for joist, girder, and bridging paint/finishes." localSheetId="40">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41">tblFinishList[Finish Types]</definedName>
    <definedName name="masterFinishList" comment="Lists all the options for joist, girder, and bridging paint/finishes." localSheetId="42">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44">tblFinishList[Finish Types]</definedName>
    <definedName name="masterFinishList" comment="Lists all the options for joist, girder, and bridging paint/finishes." localSheetId="45">tblFinishList[Finish Types]</definedName>
    <definedName name="masterFinishList" comment="Lists all the options for joist, girder, and bridging paint/finishes." localSheetId="46">tblFinishList[Finish Types]</definedName>
    <definedName name="masterFinishList" comment="Lists all the options for joist, girder, and bridging paint/finishes." localSheetId="47">tblFinishList[Finish Types]</definedName>
    <definedName name="masterFinishList" comment="Lists all the options for joist, girder, and bridging paint/finishes.">tblFinishList[Finish Types]</definedName>
    <definedName name="Pos" localSheetId="22">'L (1)'!$BF$14:$BS$14</definedName>
    <definedName name="Pos" localSheetId="31">'L (10)'!$BF$14:$BS$14</definedName>
    <definedName name="Pos" localSheetId="32">'L (11)'!$BF$14:$BS$14</definedName>
    <definedName name="Pos" localSheetId="33">'L (12)'!$BF$14:$BS$14</definedName>
    <definedName name="Pos" localSheetId="34">'L (13)'!$BF$14:$BS$14</definedName>
    <definedName name="Pos" localSheetId="35">'L (14)'!$BF$14:$BS$14</definedName>
    <definedName name="Pos" localSheetId="36">'L (15)'!$BF$14:$BS$14</definedName>
    <definedName name="Pos" localSheetId="37">'L (16)'!$BF$14:$BS$14</definedName>
    <definedName name="Pos" localSheetId="38">'L (17)'!$BF$14:$BS$14</definedName>
    <definedName name="Pos" localSheetId="39">'L (18)'!$BF$14:$BS$14</definedName>
    <definedName name="Pos" localSheetId="40">'L (19)'!$BF$14:$BS$14</definedName>
    <definedName name="Pos" localSheetId="23">'L (2)'!$BF$14:$BS$14</definedName>
    <definedName name="Pos" localSheetId="41">'L (20)'!$BF$14:$BS$14</definedName>
    <definedName name="Pos" localSheetId="42">'L (21)'!$BF$14:$BS$14</definedName>
    <definedName name="Pos" localSheetId="24">'L (3)'!$BF$14:$BS$14</definedName>
    <definedName name="Pos" localSheetId="25">'L (4)'!$BF$14:$BS$14</definedName>
    <definedName name="Pos" localSheetId="26">'L (5)'!$BF$14:$BS$14</definedName>
    <definedName name="Pos" localSheetId="27">'L (6)'!$BF$14:$BS$14</definedName>
    <definedName name="Pos" localSheetId="28">'L (7)'!$BF$14:$BS$14</definedName>
    <definedName name="Pos" localSheetId="29">'L (8)'!$BF$14:$BS$14</definedName>
    <definedName name="Pos" localSheetId="30">'L (9)'!$BF$14:$BS$14</definedName>
    <definedName name="Pos">L_A!$BF$14:$BS$14</definedName>
    <definedName name="_xlnm.Print_Area" localSheetId="54">'B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48">'G (1)'!$CB$1:$DE$45,'G (1)'!$DH$1:$EU$45</definedName>
    <definedName name="_xlnm.Print_Area" localSheetId="49">'G (2)'!$A$1:$BG$45</definedName>
    <definedName name="_xlnm.Print_Area" localSheetId="10">G_A!$CB$1:$DE$45,G_A!$DH$1:$EU$45</definedName>
    <definedName name="_xlnm.Print_Area" localSheetId="11">G_B!$A$1:$BG$45</definedName>
    <definedName name="_xlnm.Print_Area" localSheetId="50">'J (1)'!$A$1:$AA$40</definedName>
    <definedName name="_xlnm.Print_Area" localSheetId="51">'J (2)'!$A$1:$AA$45</definedName>
    <definedName name="_xlnm.Print_Area" localSheetId="52">'J (3)'!$A$1:$AA$45</definedName>
    <definedName name="_xlnm.Print_Area" localSheetId="53">'J (4)'!$A$1:$AA$45</definedName>
    <definedName name="_xlnm.Print_Area" localSheetId="12">J_A!$A$1:$AA$40</definedName>
    <definedName name="_xlnm.Print_Area" localSheetId="13">J_B!$A$1:$AA$45</definedName>
    <definedName name="_xlnm.Print_Area" localSheetId="18">'Job Info.'!$A$1:$F$50</definedName>
    <definedName name="_xlnm.Print_Area" localSheetId="43">'K (1)'!$A$1:$N$49</definedName>
    <definedName name="_xlnm.Print_Area" localSheetId="8">K_A!$A$1:$N$49</definedName>
    <definedName name="_xlnm.Print_Area" localSheetId="22">'L (1)'!$A$1:$N$55</definedName>
    <definedName name="_xlnm.Print_Area" localSheetId="31">'L (10)'!$A$1:$N$55</definedName>
    <definedName name="_xlnm.Print_Area" localSheetId="32">'L (11)'!$A$1:$N$55</definedName>
    <definedName name="_xlnm.Print_Area" localSheetId="33">'L (12)'!$A$1:$N$55</definedName>
    <definedName name="_xlnm.Print_Area" localSheetId="34">'L (13)'!$A$1:$N$55</definedName>
    <definedName name="_xlnm.Print_Area" localSheetId="35">'L (14)'!$A$1:$N$55</definedName>
    <definedName name="_xlnm.Print_Area" localSheetId="36">'L (15)'!$A$1:$N$55</definedName>
    <definedName name="_xlnm.Print_Area" localSheetId="37">'L (16)'!$A$1:$N$55</definedName>
    <definedName name="_xlnm.Print_Area" localSheetId="38">'L (17)'!$A$1:$N$55</definedName>
    <definedName name="_xlnm.Print_Area" localSheetId="39">'L (18)'!$A$1:$N$55</definedName>
    <definedName name="_xlnm.Print_Area" localSheetId="40">'L (19)'!$A$1:$N$55</definedName>
    <definedName name="_xlnm.Print_Area" localSheetId="23">'L (2)'!$A$1:$N$55</definedName>
    <definedName name="_xlnm.Print_Area" localSheetId="41">'L (20)'!$A$1:$N$55</definedName>
    <definedName name="_xlnm.Print_Area" localSheetId="42">'L (21)'!$A$1:$N$55</definedName>
    <definedName name="_xlnm.Print_Area" localSheetId="24">'L (3)'!$A$1:$N$55</definedName>
    <definedName name="_xlnm.Print_Area" localSheetId="25">'L (4)'!$A$1:$N$55</definedName>
    <definedName name="_xlnm.Print_Area" localSheetId="26">'L (5)'!$A$1:$N$55</definedName>
    <definedName name="_xlnm.Print_Area" localSheetId="27">'L (6)'!$A$1:$N$55</definedName>
    <definedName name="_xlnm.Print_Area" localSheetId="28">'L (7)'!$A$1:$N$55</definedName>
    <definedName name="_xlnm.Print_Area" localSheetId="29">'L (8)'!$A$1:$N$55</definedName>
    <definedName name="_xlnm.Print_Area" localSheetId="30">'L (9)'!$A$1:$N$55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44">'S (1)'!$A$1:$P$50</definedName>
    <definedName name="_xlnm.Print_Area" localSheetId="45">'S (2)'!$A$1:$P$50</definedName>
    <definedName name="_xlnm.Print_Area" localSheetId="46">'S (3)'!$A$1:$P$50</definedName>
    <definedName name="_xlnm.Print_Area" localSheetId="47">'S (4)'!$A$1:$P$50</definedName>
    <definedName name="_xlnm.Print_Area" localSheetId="9">S_A!$A$1:$P$50</definedName>
    <definedName name="_xlnm.Print_Area" localSheetId="17">SectInfo!$A$1:$T$64</definedName>
    <definedName name="_xlnm.Print_Titles" localSheetId="50">'J (1)'!$BB:$BB</definedName>
    <definedName name="_xlnm.Print_Titles" localSheetId="12">J_A!$BB:$BB</definedName>
    <definedName name="_xlnm.Print_Titles" localSheetId="17">SectInfo!$1:$2</definedName>
    <definedName name="Type" localSheetId="22">'L (1)'!$BF$15:$BU$15</definedName>
    <definedName name="Type" localSheetId="31">'L (10)'!$BF$15:$BU$15</definedName>
    <definedName name="Type" localSheetId="32">'L (11)'!$BF$15:$BU$15</definedName>
    <definedName name="Type" localSheetId="33">'L (12)'!$BF$15:$BU$15</definedName>
    <definedName name="Type" localSheetId="34">'L (13)'!$BF$15:$BU$15</definedName>
    <definedName name="Type" localSheetId="35">'L (14)'!$BF$15:$BU$15</definedName>
    <definedName name="Type" localSheetId="36">'L (15)'!$BF$15:$BU$15</definedName>
    <definedName name="Type" localSheetId="37">'L (16)'!$BF$15:$BU$15</definedName>
    <definedName name="Type" localSheetId="38">'L (17)'!$BF$15:$BU$15</definedName>
    <definedName name="Type" localSheetId="39">'L (18)'!$BF$15:$BU$15</definedName>
    <definedName name="Type" localSheetId="40">'L (19)'!$BF$15:$BU$15</definedName>
    <definedName name="Type" localSheetId="23">'L (2)'!$BF$15:$BU$15</definedName>
    <definedName name="Type" localSheetId="41">'L (20)'!$BF$15:$BU$15</definedName>
    <definedName name="Type" localSheetId="42">'L (21)'!$BF$15:$BU$15</definedName>
    <definedName name="Type" localSheetId="24">'L (3)'!$BF$15:$BU$15</definedName>
    <definedName name="Type" localSheetId="25">'L (4)'!$BF$15:$BU$15</definedName>
    <definedName name="Type" localSheetId="26">'L (5)'!$BF$15:$BU$15</definedName>
    <definedName name="Type" localSheetId="27">'L (6)'!$BF$15:$BU$15</definedName>
    <definedName name="Type" localSheetId="28">'L (7)'!$BF$15:$BU$15</definedName>
    <definedName name="Type" localSheetId="29">'L (8)'!$BF$15:$BU$15</definedName>
    <definedName name="Type" localSheetId="30">'L (9)'!$BF$15:$BU$15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5" i="206" l="1"/>
  <c r="R54" i="206"/>
  <c r="R53" i="206"/>
  <c r="R52" i="206"/>
  <c r="R51" i="206"/>
  <c r="R50" i="206"/>
  <c r="R49" i="206"/>
  <c r="R48" i="206"/>
  <c r="R47" i="206"/>
  <c r="R46" i="206"/>
  <c r="R45" i="206"/>
  <c r="R44" i="206"/>
  <c r="R43" i="206"/>
  <c r="R42" i="206"/>
  <c r="R41" i="206"/>
  <c r="R40" i="206"/>
  <c r="R39" i="206"/>
  <c r="R38" i="206"/>
  <c r="R37" i="206"/>
  <c r="R36" i="206"/>
  <c r="R35" i="206"/>
  <c r="R34" i="206"/>
  <c r="R33" i="206"/>
  <c r="R32" i="206"/>
  <c r="R31" i="206"/>
  <c r="CC30" i="206"/>
  <c r="CB30" i="206"/>
  <c r="CA30" i="206"/>
  <c r="BZ30" i="206"/>
  <c r="BY30" i="206"/>
  <c r="BX30" i="206"/>
  <c r="BW30" i="206"/>
  <c r="BV30" i="206"/>
  <c r="BU30" i="206"/>
  <c r="BT30" i="206"/>
  <c r="BS30" i="206"/>
  <c r="BR30" i="206"/>
  <c r="BQ30" i="206"/>
  <c r="BP30" i="206"/>
  <c r="BO30" i="206"/>
  <c r="BN30" i="206"/>
  <c r="BM30" i="206"/>
  <c r="BL30" i="206"/>
  <c r="BK30" i="206"/>
  <c r="BJ30" i="206"/>
  <c r="BI30" i="206"/>
  <c r="BH30" i="206"/>
  <c r="BG30" i="206"/>
  <c r="BF30" i="206"/>
  <c r="R30" i="206"/>
  <c r="R29" i="206"/>
  <c r="R28" i="206"/>
  <c r="R27" i="206"/>
  <c r="R26" i="206"/>
  <c r="R25" i="206"/>
  <c r="R24" i="206"/>
  <c r="R23" i="206"/>
  <c r="R22" i="206"/>
  <c r="R21" i="206"/>
  <c r="R20" i="206"/>
  <c r="R19" i="206"/>
  <c r="R18" i="206"/>
  <c r="R17" i="206"/>
  <c r="R16" i="206"/>
  <c r="R15" i="206"/>
  <c r="AO14" i="206"/>
  <c r="AO15" i="206" s="1"/>
  <c r="R14" i="206"/>
  <c r="N10" i="206"/>
  <c r="K10" i="206"/>
  <c r="B10" i="206"/>
  <c r="K9" i="206"/>
  <c r="B9" i="206"/>
  <c r="N7" i="206"/>
  <c r="N6" i="206"/>
  <c r="I2" i="206"/>
  <c r="T1" i="206"/>
  <c r="S1" i="206"/>
  <c r="I4" i="206" s="1"/>
  <c r="I1" i="206"/>
  <c r="R55" i="205"/>
  <c r="R54" i="205"/>
  <c r="R53" i="205"/>
  <c r="R52" i="205"/>
  <c r="R51" i="205"/>
  <c r="R50" i="205"/>
  <c r="R49" i="205"/>
  <c r="R48" i="205"/>
  <c r="R47" i="205"/>
  <c r="R46" i="205"/>
  <c r="R45" i="205"/>
  <c r="R44" i="205"/>
  <c r="R43" i="205"/>
  <c r="R42" i="205"/>
  <c r="R41" i="205"/>
  <c r="R40" i="205"/>
  <c r="R39" i="205"/>
  <c r="R38" i="205"/>
  <c r="R37" i="205"/>
  <c r="R36" i="205"/>
  <c r="R35" i="205"/>
  <c r="R34" i="205"/>
  <c r="R33" i="205"/>
  <c r="R32" i="205"/>
  <c r="R31" i="205"/>
  <c r="CC30" i="205"/>
  <c r="CB30" i="205"/>
  <c r="CA30" i="205"/>
  <c r="BZ30" i="205"/>
  <c r="BY30" i="205"/>
  <c r="BX30" i="205"/>
  <c r="BW30" i="205"/>
  <c r="BV30" i="205"/>
  <c r="BU30" i="205"/>
  <c r="BT30" i="205"/>
  <c r="BS30" i="205"/>
  <c r="BR30" i="205"/>
  <c r="BQ30" i="205"/>
  <c r="BP30" i="205"/>
  <c r="BO30" i="205"/>
  <c r="BN30" i="205"/>
  <c r="BM30" i="205"/>
  <c r="BL30" i="205"/>
  <c r="BK30" i="205"/>
  <c r="BJ30" i="205"/>
  <c r="BI30" i="205"/>
  <c r="BH30" i="205"/>
  <c r="BG30" i="205"/>
  <c r="BF30" i="205"/>
  <c r="R30" i="205"/>
  <c r="R29" i="205"/>
  <c r="R28" i="205"/>
  <c r="R27" i="205"/>
  <c r="R26" i="205"/>
  <c r="R25" i="205"/>
  <c r="R24" i="205"/>
  <c r="R23" i="205"/>
  <c r="R22" i="205"/>
  <c r="R21" i="205"/>
  <c r="R20" i="205"/>
  <c r="R19" i="205"/>
  <c r="R18" i="205"/>
  <c r="R17" i="205"/>
  <c r="R16" i="205"/>
  <c r="R15" i="205"/>
  <c r="AO14" i="205"/>
  <c r="AO15" i="205" s="1"/>
  <c r="R14" i="205"/>
  <c r="N10" i="205"/>
  <c r="K10" i="205"/>
  <c r="B10" i="205"/>
  <c r="K9" i="205"/>
  <c r="B9" i="205"/>
  <c r="N7" i="205"/>
  <c r="N6" i="205"/>
  <c r="T1" i="205"/>
  <c r="S1" i="205"/>
  <c r="I4" i="205" s="1"/>
  <c r="I1" i="205"/>
  <c r="R55" i="204"/>
  <c r="R54" i="204"/>
  <c r="R53" i="204"/>
  <c r="R52" i="204"/>
  <c r="R51" i="204"/>
  <c r="R50" i="204"/>
  <c r="R49" i="204"/>
  <c r="R48" i="204"/>
  <c r="R47" i="204"/>
  <c r="R46" i="204"/>
  <c r="R45" i="204"/>
  <c r="R44" i="204"/>
  <c r="R43" i="204"/>
  <c r="R42" i="204"/>
  <c r="R41" i="204"/>
  <c r="R40" i="204"/>
  <c r="R39" i="204"/>
  <c r="R38" i="204"/>
  <c r="R37" i="204"/>
  <c r="R36" i="204"/>
  <c r="R35" i="204"/>
  <c r="R34" i="204"/>
  <c r="R33" i="204"/>
  <c r="R32" i="204"/>
  <c r="R31" i="204"/>
  <c r="CC30" i="204"/>
  <c r="CB30" i="204"/>
  <c r="CA30" i="204"/>
  <c r="BZ30" i="204"/>
  <c r="BY30" i="204"/>
  <c r="BX30" i="204"/>
  <c r="BW30" i="204"/>
  <c r="BV30" i="204"/>
  <c r="BU30" i="204"/>
  <c r="BT30" i="204"/>
  <c r="BS30" i="204"/>
  <c r="BR30" i="204"/>
  <c r="BQ30" i="204"/>
  <c r="BP30" i="204"/>
  <c r="BO30" i="204"/>
  <c r="BN30" i="204"/>
  <c r="BM30" i="204"/>
  <c r="BL30" i="204"/>
  <c r="BK30" i="204"/>
  <c r="BJ30" i="204"/>
  <c r="BI30" i="204"/>
  <c r="BH30" i="204"/>
  <c r="BG30" i="204"/>
  <c r="BF30" i="204"/>
  <c r="R30" i="204"/>
  <c r="R29" i="204"/>
  <c r="R28" i="204"/>
  <c r="R27" i="204"/>
  <c r="R26" i="204"/>
  <c r="R25" i="204"/>
  <c r="R24" i="204"/>
  <c r="R23" i="204"/>
  <c r="R22" i="204"/>
  <c r="R21" i="204"/>
  <c r="R20" i="204"/>
  <c r="R19" i="204"/>
  <c r="R18" i="204"/>
  <c r="R17" i="204"/>
  <c r="R16" i="204"/>
  <c r="R15" i="204"/>
  <c r="AO14" i="204"/>
  <c r="AO15" i="204" s="1"/>
  <c r="R14" i="204"/>
  <c r="N10" i="204"/>
  <c r="K10" i="204"/>
  <c r="B10" i="204"/>
  <c r="K9" i="204"/>
  <c r="B9" i="204"/>
  <c r="N7" i="204"/>
  <c r="N6" i="204"/>
  <c r="I4" i="204"/>
  <c r="I2" i="204"/>
  <c r="T1" i="204"/>
  <c r="S1" i="204"/>
  <c r="I1" i="204"/>
  <c r="R55" i="203"/>
  <c r="R54" i="203"/>
  <c r="R53" i="203"/>
  <c r="R52" i="203"/>
  <c r="R51" i="203"/>
  <c r="R50" i="203"/>
  <c r="R49" i="203"/>
  <c r="R48" i="203"/>
  <c r="R47" i="203"/>
  <c r="R46" i="203"/>
  <c r="R45" i="203"/>
  <c r="R44" i="203"/>
  <c r="R43" i="203"/>
  <c r="R42" i="203"/>
  <c r="R41" i="203"/>
  <c r="R40" i="203"/>
  <c r="R39" i="203"/>
  <c r="R38" i="203"/>
  <c r="R37" i="203"/>
  <c r="R36" i="203"/>
  <c r="R35" i="203"/>
  <c r="R34" i="203"/>
  <c r="R33" i="203"/>
  <c r="R32" i="203"/>
  <c r="R31" i="203"/>
  <c r="CC30" i="203"/>
  <c r="CB30" i="203"/>
  <c r="CA30" i="203"/>
  <c r="BZ30" i="203"/>
  <c r="BY30" i="203"/>
  <c r="BX30" i="203"/>
  <c r="BW30" i="203"/>
  <c r="BV30" i="203"/>
  <c r="BU30" i="203"/>
  <c r="BT30" i="203"/>
  <c r="BS30" i="203"/>
  <c r="BR30" i="203"/>
  <c r="BQ30" i="203"/>
  <c r="BP30" i="203"/>
  <c r="BO30" i="203"/>
  <c r="BN30" i="203"/>
  <c r="BM30" i="203"/>
  <c r="BL30" i="203"/>
  <c r="BK30" i="203"/>
  <c r="BJ30" i="203"/>
  <c r="BI30" i="203"/>
  <c r="BH30" i="203"/>
  <c r="BG30" i="203"/>
  <c r="BF30" i="203"/>
  <c r="R30" i="203"/>
  <c r="R29" i="203"/>
  <c r="R28" i="203"/>
  <c r="R27" i="203"/>
  <c r="R26" i="203"/>
  <c r="R25" i="203"/>
  <c r="R24" i="203"/>
  <c r="R23" i="203"/>
  <c r="R22" i="203"/>
  <c r="R21" i="203"/>
  <c r="R20" i="203"/>
  <c r="R19" i="203"/>
  <c r="R18" i="203"/>
  <c r="R17" i="203"/>
  <c r="R16" i="203"/>
  <c r="R15" i="203"/>
  <c r="AO14" i="203"/>
  <c r="AO15" i="203" s="1"/>
  <c r="R14" i="203"/>
  <c r="N10" i="203"/>
  <c r="K10" i="203"/>
  <c r="B10" i="203"/>
  <c r="K9" i="203"/>
  <c r="B9" i="203"/>
  <c r="N7" i="203"/>
  <c r="N6" i="203"/>
  <c r="T1" i="203"/>
  <c r="S1" i="203"/>
  <c r="I4" i="203" s="1"/>
  <c r="I1" i="203"/>
  <c r="R55" i="202"/>
  <c r="R54" i="202"/>
  <c r="R53" i="202"/>
  <c r="R52" i="202"/>
  <c r="R51" i="202"/>
  <c r="R50" i="202"/>
  <c r="R49" i="202"/>
  <c r="R48" i="202"/>
  <c r="R47" i="202"/>
  <c r="R46" i="202"/>
  <c r="R45" i="202"/>
  <c r="R44" i="202"/>
  <c r="R43" i="202"/>
  <c r="R42" i="202"/>
  <c r="R41" i="202"/>
  <c r="R40" i="202"/>
  <c r="R39" i="202"/>
  <c r="R38" i="202"/>
  <c r="R37" i="202"/>
  <c r="R36" i="202"/>
  <c r="R35" i="202"/>
  <c r="R34" i="202"/>
  <c r="R33" i="202"/>
  <c r="R32" i="202"/>
  <c r="R31" i="202"/>
  <c r="CC30" i="202"/>
  <c r="CB30" i="202"/>
  <c r="CA30" i="202"/>
  <c r="BZ30" i="202"/>
  <c r="BY30" i="202"/>
  <c r="BX30" i="202"/>
  <c r="BW30" i="202"/>
  <c r="BV30" i="202"/>
  <c r="BU30" i="202"/>
  <c r="BT30" i="202"/>
  <c r="BS30" i="202"/>
  <c r="BR30" i="202"/>
  <c r="BQ30" i="202"/>
  <c r="BP30" i="202"/>
  <c r="BO30" i="202"/>
  <c r="BN30" i="202"/>
  <c r="BM30" i="202"/>
  <c r="BL30" i="202"/>
  <c r="BK30" i="202"/>
  <c r="BJ30" i="202"/>
  <c r="BI30" i="202"/>
  <c r="BH30" i="202"/>
  <c r="BG30" i="202"/>
  <c r="BF30" i="202"/>
  <c r="R30" i="202"/>
  <c r="R29" i="202"/>
  <c r="R28" i="202"/>
  <c r="R27" i="202"/>
  <c r="R26" i="202"/>
  <c r="R25" i="202"/>
  <c r="R24" i="202"/>
  <c r="R23" i="202"/>
  <c r="R22" i="202"/>
  <c r="R21" i="202"/>
  <c r="R20" i="202"/>
  <c r="R19" i="202"/>
  <c r="R18" i="202"/>
  <c r="R17" i="202"/>
  <c r="R16" i="202"/>
  <c r="R15" i="202"/>
  <c r="AO14" i="202"/>
  <c r="AO15" i="202" s="1"/>
  <c r="R14" i="202"/>
  <c r="N10" i="202"/>
  <c r="K10" i="202"/>
  <c r="B10" i="202"/>
  <c r="K9" i="202"/>
  <c r="B9" i="202"/>
  <c r="N7" i="202"/>
  <c r="N6" i="202"/>
  <c r="I2" i="202"/>
  <c r="T1" i="202"/>
  <c r="S1" i="202"/>
  <c r="I4" i="202" s="1"/>
  <c r="I1" i="202"/>
  <c r="R55" i="201"/>
  <c r="R54" i="201"/>
  <c r="R53" i="201"/>
  <c r="R52" i="201"/>
  <c r="R51" i="201"/>
  <c r="R50" i="201"/>
  <c r="R49" i="201"/>
  <c r="R48" i="201"/>
  <c r="R47" i="201"/>
  <c r="R46" i="201"/>
  <c r="R45" i="201"/>
  <c r="R44" i="201"/>
  <c r="R43" i="201"/>
  <c r="R42" i="201"/>
  <c r="R41" i="201"/>
  <c r="R40" i="201"/>
  <c r="R39" i="201"/>
  <c r="R38" i="201"/>
  <c r="R37" i="201"/>
  <c r="R36" i="201"/>
  <c r="R35" i="201"/>
  <c r="R34" i="201"/>
  <c r="R33" i="201"/>
  <c r="R32" i="201"/>
  <c r="R31" i="201"/>
  <c r="CC30" i="201"/>
  <c r="CB30" i="201"/>
  <c r="CA30" i="201"/>
  <c r="BZ30" i="201"/>
  <c r="BY30" i="201"/>
  <c r="BX30" i="201"/>
  <c r="BW30" i="201"/>
  <c r="BV30" i="201"/>
  <c r="BU30" i="201"/>
  <c r="BT30" i="201"/>
  <c r="BS30" i="201"/>
  <c r="BR30" i="201"/>
  <c r="BQ30" i="201"/>
  <c r="BP30" i="201"/>
  <c r="BO30" i="201"/>
  <c r="BN30" i="201"/>
  <c r="BM30" i="201"/>
  <c r="BL30" i="201"/>
  <c r="BK30" i="201"/>
  <c r="BJ30" i="201"/>
  <c r="BI30" i="201"/>
  <c r="BH30" i="201"/>
  <c r="BG30" i="201"/>
  <c r="BF30" i="201"/>
  <c r="R30" i="201"/>
  <c r="R29" i="201"/>
  <c r="R28" i="201"/>
  <c r="R27" i="201"/>
  <c r="R26" i="201"/>
  <c r="R25" i="201"/>
  <c r="R24" i="201"/>
  <c r="R23" i="201"/>
  <c r="R22" i="201"/>
  <c r="R21" i="201"/>
  <c r="R20" i="201"/>
  <c r="R19" i="201"/>
  <c r="R18" i="201"/>
  <c r="R17" i="201"/>
  <c r="R16" i="201"/>
  <c r="R15" i="201"/>
  <c r="AO14" i="201"/>
  <c r="AO15" i="201" s="1"/>
  <c r="R14" i="201"/>
  <c r="N10" i="201"/>
  <c r="K10" i="201"/>
  <c r="B10" i="201"/>
  <c r="K9" i="201"/>
  <c r="B9" i="201"/>
  <c r="N7" i="201"/>
  <c r="N6" i="201"/>
  <c r="T1" i="201"/>
  <c r="S1" i="201"/>
  <c r="I4" i="201" s="1"/>
  <c r="R55" i="200"/>
  <c r="R54" i="200"/>
  <c r="R53" i="200"/>
  <c r="R52" i="200"/>
  <c r="R51" i="200"/>
  <c r="R50" i="200"/>
  <c r="R49" i="200"/>
  <c r="R48" i="200"/>
  <c r="R47" i="200"/>
  <c r="R46" i="200"/>
  <c r="R45" i="200"/>
  <c r="R44" i="200"/>
  <c r="R43" i="200"/>
  <c r="R42" i="200"/>
  <c r="R41" i="200"/>
  <c r="R40" i="200"/>
  <c r="R39" i="200"/>
  <c r="R38" i="200"/>
  <c r="R37" i="200"/>
  <c r="R36" i="200"/>
  <c r="R35" i="200"/>
  <c r="R34" i="200"/>
  <c r="R33" i="200"/>
  <c r="R32" i="200"/>
  <c r="R31" i="200"/>
  <c r="CC30" i="200"/>
  <c r="CB30" i="200"/>
  <c r="CA30" i="200"/>
  <c r="BZ30" i="200"/>
  <c r="BY30" i="200"/>
  <c r="BX30" i="200"/>
  <c r="BW30" i="200"/>
  <c r="BV30" i="200"/>
  <c r="BU30" i="200"/>
  <c r="BT30" i="200"/>
  <c r="BS30" i="200"/>
  <c r="BR30" i="200"/>
  <c r="BQ30" i="200"/>
  <c r="BP30" i="200"/>
  <c r="BO30" i="200"/>
  <c r="BN30" i="200"/>
  <c r="BM30" i="200"/>
  <c r="BL30" i="200"/>
  <c r="BK30" i="200"/>
  <c r="BJ30" i="200"/>
  <c r="BI30" i="200"/>
  <c r="BH30" i="200"/>
  <c r="BG30" i="200"/>
  <c r="BF30" i="200"/>
  <c r="R30" i="200"/>
  <c r="R29" i="200"/>
  <c r="R28" i="200"/>
  <c r="R27" i="200"/>
  <c r="R26" i="200"/>
  <c r="R25" i="200"/>
  <c r="R24" i="200"/>
  <c r="R23" i="200"/>
  <c r="R22" i="200"/>
  <c r="R21" i="200"/>
  <c r="R20" i="200"/>
  <c r="R19" i="200"/>
  <c r="R18" i="200"/>
  <c r="R17" i="200"/>
  <c r="R16" i="200"/>
  <c r="R15" i="200"/>
  <c r="AO14" i="200"/>
  <c r="AO15" i="200" s="1"/>
  <c r="R14" i="200"/>
  <c r="N10" i="200"/>
  <c r="K10" i="200"/>
  <c r="B10" i="200"/>
  <c r="K9" i="200"/>
  <c r="B9" i="200"/>
  <c r="N7" i="200"/>
  <c r="N6" i="200"/>
  <c r="T1" i="200"/>
  <c r="S1" i="200"/>
  <c r="I4" i="200" s="1"/>
  <c r="I1" i="200"/>
  <c r="R55" i="199"/>
  <c r="R54" i="199"/>
  <c r="R53" i="199"/>
  <c r="R52" i="199"/>
  <c r="R51" i="199"/>
  <c r="R50" i="199"/>
  <c r="R49" i="199"/>
  <c r="R48" i="199"/>
  <c r="R47" i="199"/>
  <c r="R46" i="199"/>
  <c r="R45" i="199"/>
  <c r="R44" i="199"/>
  <c r="R43" i="199"/>
  <c r="R42" i="199"/>
  <c r="R41" i="199"/>
  <c r="R40" i="199"/>
  <c r="R39" i="199"/>
  <c r="R38" i="199"/>
  <c r="R37" i="199"/>
  <c r="R36" i="199"/>
  <c r="R35" i="199"/>
  <c r="R34" i="199"/>
  <c r="R33" i="199"/>
  <c r="R32" i="199"/>
  <c r="R31" i="199"/>
  <c r="CC30" i="199"/>
  <c r="CB30" i="199"/>
  <c r="CA30" i="199"/>
  <c r="BZ30" i="199"/>
  <c r="BY30" i="199"/>
  <c r="BX30" i="199"/>
  <c r="BW30" i="199"/>
  <c r="BV30" i="199"/>
  <c r="BU30" i="199"/>
  <c r="BT30" i="199"/>
  <c r="BS30" i="199"/>
  <c r="BR30" i="199"/>
  <c r="BQ30" i="199"/>
  <c r="BP30" i="199"/>
  <c r="BO30" i="199"/>
  <c r="BN30" i="199"/>
  <c r="BM30" i="199"/>
  <c r="BL30" i="199"/>
  <c r="BK30" i="199"/>
  <c r="BJ30" i="199"/>
  <c r="BI30" i="199"/>
  <c r="BH30" i="199"/>
  <c r="BG30" i="199"/>
  <c r="BF30" i="199"/>
  <c r="R30" i="199"/>
  <c r="R29" i="199"/>
  <c r="R28" i="199"/>
  <c r="R27" i="199"/>
  <c r="R26" i="199"/>
  <c r="R25" i="199"/>
  <c r="R24" i="199"/>
  <c r="R23" i="199"/>
  <c r="R22" i="199"/>
  <c r="R21" i="199"/>
  <c r="R20" i="199"/>
  <c r="R19" i="199"/>
  <c r="R18" i="199"/>
  <c r="R17" i="199"/>
  <c r="R16" i="199"/>
  <c r="R15" i="199"/>
  <c r="AO14" i="199"/>
  <c r="AO15" i="199" s="1"/>
  <c r="R14" i="199"/>
  <c r="N10" i="199"/>
  <c r="K10" i="199"/>
  <c r="B10" i="199"/>
  <c r="K9" i="199"/>
  <c r="B9" i="199"/>
  <c r="N7" i="199"/>
  <c r="N6" i="199"/>
  <c r="T1" i="199"/>
  <c r="S1" i="199"/>
  <c r="I4" i="199" s="1"/>
  <c r="I1" i="199"/>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CC30" i="198"/>
  <c r="CB30" i="198"/>
  <c r="CA30" i="198"/>
  <c r="BZ30" i="198"/>
  <c r="BY30" i="198"/>
  <c r="BX30" i="198"/>
  <c r="BW30" i="198"/>
  <c r="BV30" i="198"/>
  <c r="BU30" i="198"/>
  <c r="BT30" i="198"/>
  <c r="BS30" i="198"/>
  <c r="BR30" i="198"/>
  <c r="BQ30" i="198"/>
  <c r="BP30" i="198"/>
  <c r="BO30" i="198"/>
  <c r="BN30" i="198"/>
  <c r="BM30" i="198"/>
  <c r="BL30" i="198"/>
  <c r="BK30" i="198"/>
  <c r="BJ30" i="198"/>
  <c r="BI30" i="198"/>
  <c r="BH30" i="198"/>
  <c r="BG30" i="198"/>
  <c r="BF30" i="198"/>
  <c r="R30" i="198"/>
  <c r="R29" i="198"/>
  <c r="R28" i="198"/>
  <c r="R27" i="198"/>
  <c r="R26" i="198"/>
  <c r="R25" i="198"/>
  <c r="R24" i="198"/>
  <c r="R23" i="198"/>
  <c r="R22" i="198"/>
  <c r="R21" i="198"/>
  <c r="R20" i="198"/>
  <c r="R19" i="198"/>
  <c r="R18" i="198"/>
  <c r="R17" i="198"/>
  <c r="R16" i="198"/>
  <c r="R15" i="198"/>
  <c r="AO14" i="198"/>
  <c r="AO15" i="198" s="1"/>
  <c r="R14" i="198"/>
  <c r="N10" i="198"/>
  <c r="K10" i="198"/>
  <c r="B10" i="198"/>
  <c r="K9" i="198"/>
  <c r="B9" i="198"/>
  <c r="N7" i="198"/>
  <c r="N6" i="198"/>
  <c r="T1" i="198"/>
  <c r="S1" i="198"/>
  <c r="I4" i="198" s="1"/>
  <c r="R55" i="197"/>
  <c r="R54" i="197"/>
  <c r="R53" i="197"/>
  <c r="R52" i="197"/>
  <c r="R51" i="197"/>
  <c r="R50" i="197"/>
  <c r="R49" i="197"/>
  <c r="R48" i="197"/>
  <c r="R47" i="197"/>
  <c r="R46" i="197"/>
  <c r="R45" i="197"/>
  <c r="R44" i="197"/>
  <c r="R43" i="197"/>
  <c r="R42" i="197"/>
  <c r="R41" i="197"/>
  <c r="R40" i="197"/>
  <c r="R39" i="197"/>
  <c r="R38" i="197"/>
  <c r="R37" i="197"/>
  <c r="R36" i="197"/>
  <c r="R35" i="197"/>
  <c r="R34" i="197"/>
  <c r="R33" i="197"/>
  <c r="R32" i="197"/>
  <c r="R31" i="197"/>
  <c r="CC30" i="197"/>
  <c r="CB30" i="197"/>
  <c r="CA30" i="197"/>
  <c r="BZ30" i="197"/>
  <c r="BY30" i="197"/>
  <c r="BX30" i="197"/>
  <c r="BW30" i="197"/>
  <c r="BV30" i="197"/>
  <c r="BU30" i="197"/>
  <c r="BT30" i="197"/>
  <c r="BS30" i="197"/>
  <c r="BR30" i="197"/>
  <c r="BQ30" i="197"/>
  <c r="BP30" i="197"/>
  <c r="BO30" i="197"/>
  <c r="BN30" i="197"/>
  <c r="BM30" i="197"/>
  <c r="BL30" i="197"/>
  <c r="BK30" i="197"/>
  <c r="BJ30" i="197"/>
  <c r="BI30" i="197"/>
  <c r="BH30" i="197"/>
  <c r="BG30" i="197"/>
  <c r="BF30" i="197"/>
  <c r="R30" i="197"/>
  <c r="R29" i="197"/>
  <c r="R28" i="197"/>
  <c r="R27" i="197"/>
  <c r="R26" i="197"/>
  <c r="R25" i="197"/>
  <c r="R24" i="197"/>
  <c r="R23" i="197"/>
  <c r="R22" i="197"/>
  <c r="R21" i="197"/>
  <c r="R20" i="197"/>
  <c r="R19" i="197"/>
  <c r="R18" i="197"/>
  <c r="R17" i="197"/>
  <c r="R16" i="197"/>
  <c r="R15" i="197"/>
  <c r="AO14" i="197"/>
  <c r="AO15" i="197" s="1"/>
  <c r="R14" i="197"/>
  <c r="N10" i="197"/>
  <c r="K10" i="197"/>
  <c r="B10" i="197"/>
  <c r="K9" i="197"/>
  <c r="B9" i="197"/>
  <c r="N7" i="197"/>
  <c r="N6" i="197"/>
  <c r="T1" i="197"/>
  <c r="S1" i="197"/>
  <c r="I4" i="197" s="1"/>
  <c r="I1" i="197"/>
  <c r="R55" i="196"/>
  <c r="R54" i="196"/>
  <c r="R53" i="196"/>
  <c r="R52" i="196"/>
  <c r="R51" i="196"/>
  <c r="R50" i="196"/>
  <c r="R49" i="196"/>
  <c r="R48" i="196"/>
  <c r="R47" i="196"/>
  <c r="R46" i="196"/>
  <c r="R45" i="196"/>
  <c r="R44" i="196"/>
  <c r="R43" i="196"/>
  <c r="R42" i="196"/>
  <c r="R41" i="196"/>
  <c r="R40" i="196"/>
  <c r="R39" i="196"/>
  <c r="R38" i="196"/>
  <c r="R37" i="196"/>
  <c r="R36" i="196"/>
  <c r="R35" i="196"/>
  <c r="R34" i="196"/>
  <c r="R33" i="196"/>
  <c r="R32" i="196"/>
  <c r="R31" i="196"/>
  <c r="CC30" i="196"/>
  <c r="CB30" i="196"/>
  <c r="CA30" i="196"/>
  <c r="BZ30" i="196"/>
  <c r="BY30" i="196"/>
  <c r="BX30" i="196"/>
  <c r="BW30" i="196"/>
  <c r="BV30" i="196"/>
  <c r="BU30" i="196"/>
  <c r="BT30" i="196"/>
  <c r="BS30" i="196"/>
  <c r="BR30" i="196"/>
  <c r="BQ30" i="196"/>
  <c r="BP30" i="196"/>
  <c r="BO30" i="196"/>
  <c r="BN30" i="196"/>
  <c r="BM30" i="196"/>
  <c r="BL30" i="196"/>
  <c r="BK30" i="196"/>
  <c r="BJ30" i="196"/>
  <c r="BI30" i="196"/>
  <c r="BH30" i="196"/>
  <c r="BG30" i="196"/>
  <c r="BF30" i="196"/>
  <c r="R30" i="196"/>
  <c r="R29" i="196"/>
  <c r="R28" i="196"/>
  <c r="R27" i="196"/>
  <c r="R26" i="196"/>
  <c r="R25" i="196"/>
  <c r="R24" i="196"/>
  <c r="R23" i="196"/>
  <c r="R22" i="196"/>
  <c r="R21" i="196"/>
  <c r="R20" i="196"/>
  <c r="R19" i="196"/>
  <c r="R18" i="196"/>
  <c r="R17" i="196"/>
  <c r="R16" i="196"/>
  <c r="R15" i="196"/>
  <c r="AO14" i="196"/>
  <c r="AO15" i="196" s="1"/>
  <c r="R14" i="196"/>
  <c r="N10" i="196"/>
  <c r="K10" i="196"/>
  <c r="B10" i="196"/>
  <c r="K9" i="196"/>
  <c r="B9" i="196"/>
  <c r="N7" i="196"/>
  <c r="N6" i="196"/>
  <c r="T1" i="196"/>
  <c r="S1" i="196"/>
  <c r="I4" i="196" s="1"/>
  <c r="I1" i="196"/>
  <c r="R55" i="195"/>
  <c r="R54" i="195"/>
  <c r="R53" i="195"/>
  <c r="R52" i="195"/>
  <c r="R51" i="195"/>
  <c r="R50" i="195"/>
  <c r="R49" i="195"/>
  <c r="R48" i="195"/>
  <c r="R47" i="195"/>
  <c r="R46" i="195"/>
  <c r="R45" i="195"/>
  <c r="R44" i="195"/>
  <c r="R43" i="195"/>
  <c r="R42" i="195"/>
  <c r="R41" i="195"/>
  <c r="R40" i="195"/>
  <c r="R39" i="195"/>
  <c r="R38" i="195"/>
  <c r="R37" i="195"/>
  <c r="R36" i="195"/>
  <c r="R35" i="195"/>
  <c r="R34" i="195"/>
  <c r="R33" i="195"/>
  <c r="R32" i="195"/>
  <c r="R31" i="195"/>
  <c r="CC30" i="195"/>
  <c r="CB30" i="195"/>
  <c r="CA30" i="195"/>
  <c r="BZ30" i="195"/>
  <c r="BY30" i="195"/>
  <c r="BX30" i="195"/>
  <c r="BW30" i="195"/>
  <c r="BV30" i="195"/>
  <c r="BU30" i="195"/>
  <c r="BT30" i="195"/>
  <c r="BS30" i="195"/>
  <c r="BR30" i="195"/>
  <c r="BQ30" i="195"/>
  <c r="BP30" i="195"/>
  <c r="BO30" i="195"/>
  <c r="BN30" i="195"/>
  <c r="BM30" i="195"/>
  <c r="BL30" i="195"/>
  <c r="BK30" i="195"/>
  <c r="BJ30" i="195"/>
  <c r="BI30" i="195"/>
  <c r="BH30" i="195"/>
  <c r="BG30" i="195"/>
  <c r="BF30" i="195"/>
  <c r="R30" i="195"/>
  <c r="R29" i="195"/>
  <c r="R28" i="195"/>
  <c r="R27" i="195"/>
  <c r="R26" i="195"/>
  <c r="R25" i="195"/>
  <c r="R24" i="195"/>
  <c r="R23" i="195"/>
  <c r="R22" i="195"/>
  <c r="R21" i="195"/>
  <c r="R20" i="195"/>
  <c r="R19" i="195"/>
  <c r="R18" i="195"/>
  <c r="R17" i="195"/>
  <c r="AO16" i="195"/>
  <c r="P16" i="195" s="1"/>
  <c r="R16" i="195"/>
  <c r="R15" i="195"/>
  <c r="AO14" i="195"/>
  <c r="P14" i="195" s="1"/>
  <c r="R14" i="195"/>
  <c r="N10" i="195"/>
  <c r="K10" i="195"/>
  <c r="B10" i="195"/>
  <c r="K9" i="195"/>
  <c r="B9" i="195"/>
  <c r="N7" i="195"/>
  <c r="N6" i="195"/>
  <c r="T1" i="195"/>
  <c r="S1" i="195"/>
  <c r="I4" i="195" s="1"/>
  <c r="R55" i="194"/>
  <c r="R54" i="194"/>
  <c r="R53" i="194"/>
  <c r="R52" i="194"/>
  <c r="R51" i="194"/>
  <c r="R50" i="194"/>
  <c r="R49" i="194"/>
  <c r="R48" i="194"/>
  <c r="R47" i="194"/>
  <c r="R46" i="194"/>
  <c r="R45" i="194"/>
  <c r="R44" i="194"/>
  <c r="R43" i="194"/>
  <c r="R42" i="194"/>
  <c r="R41" i="194"/>
  <c r="R40" i="194"/>
  <c r="R39" i="194"/>
  <c r="R38" i="194"/>
  <c r="R37" i="194"/>
  <c r="R36" i="194"/>
  <c r="R35" i="194"/>
  <c r="R34" i="194"/>
  <c r="R33" i="194"/>
  <c r="R32" i="194"/>
  <c r="R31" i="194"/>
  <c r="CC30" i="194"/>
  <c r="CB30" i="194"/>
  <c r="CA30" i="194"/>
  <c r="BZ30" i="194"/>
  <c r="BY30" i="194"/>
  <c r="BX30" i="194"/>
  <c r="BW30" i="194"/>
  <c r="BV30" i="194"/>
  <c r="BU30" i="194"/>
  <c r="BT30" i="194"/>
  <c r="BS30" i="194"/>
  <c r="BR30" i="194"/>
  <c r="BQ30" i="194"/>
  <c r="BP30" i="194"/>
  <c r="BO30" i="194"/>
  <c r="BN30" i="194"/>
  <c r="BM30" i="194"/>
  <c r="BL30" i="194"/>
  <c r="BK30" i="194"/>
  <c r="BJ30" i="194"/>
  <c r="BI30" i="194"/>
  <c r="BH30" i="194"/>
  <c r="BG30" i="194"/>
  <c r="BF30" i="194"/>
  <c r="R30" i="194"/>
  <c r="R29" i="194"/>
  <c r="R28" i="194"/>
  <c r="R27" i="194"/>
  <c r="R26" i="194"/>
  <c r="R25" i="194"/>
  <c r="R24" i="194"/>
  <c r="R23" i="194"/>
  <c r="R22" i="194"/>
  <c r="R21" i="194"/>
  <c r="R20" i="194"/>
  <c r="R19" i="194"/>
  <c r="R18" i="194"/>
  <c r="R17" i="194"/>
  <c r="R16" i="194"/>
  <c r="R15" i="194"/>
  <c r="AO14" i="194"/>
  <c r="AO15" i="194" s="1"/>
  <c r="R14" i="194"/>
  <c r="N10" i="194"/>
  <c r="K10" i="194"/>
  <c r="B10" i="194"/>
  <c r="K9" i="194"/>
  <c r="B9" i="194"/>
  <c r="N7" i="194"/>
  <c r="N6" i="194"/>
  <c r="T1" i="194"/>
  <c r="S1" i="194"/>
  <c r="I4" i="194" s="1"/>
  <c r="I1" i="194"/>
  <c r="R55" i="193"/>
  <c r="R54" i="193"/>
  <c r="R53" i="193"/>
  <c r="R52" i="193"/>
  <c r="R51" i="193"/>
  <c r="R50" i="193"/>
  <c r="R49" i="193"/>
  <c r="R48" i="193"/>
  <c r="R47" i="193"/>
  <c r="R46" i="193"/>
  <c r="R45" i="193"/>
  <c r="R44" i="193"/>
  <c r="R43" i="193"/>
  <c r="R42" i="193"/>
  <c r="R41" i="193"/>
  <c r="R40" i="193"/>
  <c r="R39" i="193"/>
  <c r="R38" i="193"/>
  <c r="R37" i="193"/>
  <c r="R36" i="193"/>
  <c r="R35" i="193"/>
  <c r="R34" i="193"/>
  <c r="R33" i="193"/>
  <c r="R32" i="193"/>
  <c r="R31" i="193"/>
  <c r="CC30" i="193"/>
  <c r="CB30" i="193"/>
  <c r="CA30" i="193"/>
  <c r="BZ30" i="193"/>
  <c r="BY30" i="193"/>
  <c r="BX30" i="193"/>
  <c r="BW30" i="193"/>
  <c r="BV30" i="193"/>
  <c r="BU30" i="193"/>
  <c r="BT30" i="193"/>
  <c r="BS30" i="193"/>
  <c r="BR30" i="193"/>
  <c r="BQ30" i="193"/>
  <c r="BP30" i="193"/>
  <c r="BO30" i="193"/>
  <c r="BN30" i="193"/>
  <c r="BM30" i="193"/>
  <c r="BL30" i="193"/>
  <c r="BK30" i="193"/>
  <c r="BJ30" i="193"/>
  <c r="BI30" i="193"/>
  <c r="BH30" i="193"/>
  <c r="BG30" i="193"/>
  <c r="BF30" i="193"/>
  <c r="R30" i="193"/>
  <c r="R29" i="193"/>
  <c r="R28" i="193"/>
  <c r="R27" i="193"/>
  <c r="R26" i="193"/>
  <c r="R25" i="193"/>
  <c r="R24" i="193"/>
  <c r="R23" i="193"/>
  <c r="R22" i="193"/>
  <c r="R21" i="193"/>
  <c r="R20" i="193"/>
  <c r="R19" i="193"/>
  <c r="R18" i="193"/>
  <c r="R17" i="193"/>
  <c r="R16" i="193"/>
  <c r="R15" i="193"/>
  <c r="AO14" i="193"/>
  <c r="AO15" i="193" s="1"/>
  <c r="R14" i="193"/>
  <c r="N10" i="193"/>
  <c r="K10" i="193"/>
  <c r="B10" i="193"/>
  <c r="K9" i="193"/>
  <c r="B9" i="193"/>
  <c r="N7" i="193"/>
  <c r="N6" i="193"/>
  <c r="I2" i="193"/>
  <c r="T1" i="193"/>
  <c r="S1" i="193"/>
  <c r="I4" i="193" s="1"/>
  <c r="I1" i="193"/>
  <c r="R55" i="192"/>
  <c r="R54" i="192"/>
  <c r="R53" i="192"/>
  <c r="R52" i="192"/>
  <c r="R51" i="192"/>
  <c r="R50" i="192"/>
  <c r="R49" i="192"/>
  <c r="R48" i="192"/>
  <c r="R47" i="192"/>
  <c r="R46" i="192"/>
  <c r="R45" i="192"/>
  <c r="R44" i="192"/>
  <c r="R43" i="192"/>
  <c r="R42" i="192"/>
  <c r="R41" i="192"/>
  <c r="R40" i="192"/>
  <c r="R39" i="192"/>
  <c r="R38" i="192"/>
  <c r="R37" i="192"/>
  <c r="R36" i="192"/>
  <c r="R35" i="192"/>
  <c r="R34" i="192"/>
  <c r="R33" i="192"/>
  <c r="R32" i="192"/>
  <c r="R31" i="192"/>
  <c r="CC30" i="192"/>
  <c r="CB30" i="192"/>
  <c r="CA30" i="192"/>
  <c r="BZ30" i="192"/>
  <c r="BY30" i="192"/>
  <c r="BX30" i="192"/>
  <c r="BW30" i="192"/>
  <c r="BV30" i="192"/>
  <c r="BU30" i="192"/>
  <c r="BT30" i="192"/>
  <c r="BS30" i="192"/>
  <c r="BR30" i="192"/>
  <c r="BQ30" i="192"/>
  <c r="BP30" i="192"/>
  <c r="BO30" i="192"/>
  <c r="BN30" i="192"/>
  <c r="BM30" i="192"/>
  <c r="BL30" i="192"/>
  <c r="BK30" i="192"/>
  <c r="BJ30" i="192"/>
  <c r="BI30" i="192"/>
  <c r="BH30" i="192"/>
  <c r="BG30" i="192"/>
  <c r="BF30" i="192"/>
  <c r="R30" i="192"/>
  <c r="R29" i="192"/>
  <c r="R28" i="192"/>
  <c r="R27" i="192"/>
  <c r="R26" i="192"/>
  <c r="R25" i="192"/>
  <c r="R24" i="192"/>
  <c r="R23" i="192"/>
  <c r="R22" i="192"/>
  <c r="R21" i="192"/>
  <c r="R20" i="192"/>
  <c r="R19" i="192"/>
  <c r="R18" i="192"/>
  <c r="R17" i="192"/>
  <c r="R16" i="192"/>
  <c r="R15" i="192"/>
  <c r="AO14" i="192"/>
  <c r="AO15" i="192" s="1"/>
  <c r="R14" i="192"/>
  <c r="N10" i="192"/>
  <c r="K10" i="192"/>
  <c r="B10" i="192"/>
  <c r="K9" i="192"/>
  <c r="B9" i="192"/>
  <c r="N7" i="192"/>
  <c r="N6" i="192"/>
  <c r="I2" i="192"/>
  <c r="T1" i="192"/>
  <c r="S1" i="192"/>
  <c r="I4" i="192" s="1"/>
  <c r="I1" i="192"/>
  <c r="R55" i="191"/>
  <c r="R54" i="191"/>
  <c r="R53" i="191"/>
  <c r="R52" i="191"/>
  <c r="R51" i="191"/>
  <c r="R50" i="191"/>
  <c r="R49" i="191"/>
  <c r="R48" i="191"/>
  <c r="R47" i="191"/>
  <c r="R46" i="191"/>
  <c r="R45" i="191"/>
  <c r="R44" i="191"/>
  <c r="R43" i="191"/>
  <c r="R42" i="191"/>
  <c r="R41" i="191"/>
  <c r="R40" i="191"/>
  <c r="R39" i="191"/>
  <c r="R38" i="191"/>
  <c r="R37" i="191"/>
  <c r="R36" i="191"/>
  <c r="R35" i="191"/>
  <c r="R34" i="191"/>
  <c r="R33" i="191"/>
  <c r="R32" i="191"/>
  <c r="R31" i="191"/>
  <c r="CC30" i="191"/>
  <c r="CB30" i="191"/>
  <c r="CA30" i="191"/>
  <c r="BZ30" i="191"/>
  <c r="BY30" i="191"/>
  <c r="BX30" i="191"/>
  <c r="BW30" i="191"/>
  <c r="BV30" i="191"/>
  <c r="BU30" i="191"/>
  <c r="BT30" i="191"/>
  <c r="BS30" i="191"/>
  <c r="BR30" i="191"/>
  <c r="BQ30" i="191"/>
  <c r="BP30" i="191"/>
  <c r="BO30" i="191"/>
  <c r="BN30" i="191"/>
  <c r="BM30" i="191"/>
  <c r="BL30" i="191"/>
  <c r="BK30" i="191"/>
  <c r="BJ30" i="191"/>
  <c r="BI30" i="191"/>
  <c r="BH30" i="191"/>
  <c r="BG30" i="191"/>
  <c r="BF30" i="191"/>
  <c r="R30" i="191"/>
  <c r="R29" i="191"/>
  <c r="R28" i="191"/>
  <c r="R27" i="191"/>
  <c r="R26" i="191"/>
  <c r="R25" i="191"/>
  <c r="R24" i="191"/>
  <c r="R23" i="191"/>
  <c r="R22" i="191"/>
  <c r="R21" i="191"/>
  <c r="R20" i="191"/>
  <c r="R19" i="191"/>
  <c r="R18" i="191"/>
  <c r="R17" i="191"/>
  <c r="R16" i="191"/>
  <c r="AO15" i="191"/>
  <c r="P15" i="191" s="1"/>
  <c r="R15" i="191"/>
  <c r="AO14" i="191"/>
  <c r="P14" i="191" s="1"/>
  <c r="R14" i="191"/>
  <c r="N10" i="191"/>
  <c r="K10" i="191"/>
  <c r="B10" i="191"/>
  <c r="K9" i="191"/>
  <c r="B9" i="191"/>
  <c r="N7" i="191"/>
  <c r="N6" i="191"/>
  <c r="I4" i="191"/>
  <c r="T1" i="191"/>
  <c r="S1" i="191"/>
  <c r="I2" i="191" s="1"/>
  <c r="I1" i="191"/>
  <c r="R55" i="190"/>
  <c r="R54" i="190"/>
  <c r="R53" i="190"/>
  <c r="R52" i="190"/>
  <c r="R51" i="190"/>
  <c r="R50" i="190"/>
  <c r="R49" i="190"/>
  <c r="R48" i="190"/>
  <c r="R47" i="190"/>
  <c r="R46" i="190"/>
  <c r="R45" i="190"/>
  <c r="R44" i="190"/>
  <c r="R43" i="190"/>
  <c r="R42" i="190"/>
  <c r="R41" i="190"/>
  <c r="R40" i="190"/>
  <c r="R39" i="190"/>
  <c r="R38" i="190"/>
  <c r="R37" i="190"/>
  <c r="R36" i="190"/>
  <c r="R35" i="190"/>
  <c r="R34" i="190"/>
  <c r="R33" i="190"/>
  <c r="R32" i="190"/>
  <c r="R31" i="190"/>
  <c r="CC30" i="190"/>
  <c r="CB30" i="190"/>
  <c r="CA30" i="190"/>
  <c r="BZ30" i="190"/>
  <c r="BY30" i="190"/>
  <c r="BX30" i="190"/>
  <c r="BW30" i="190"/>
  <c r="BV30" i="190"/>
  <c r="BU30" i="190"/>
  <c r="BT30" i="190"/>
  <c r="BS30" i="190"/>
  <c r="BR30" i="190"/>
  <c r="BQ30" i="190"/>
  <c r="BP30" i="190"/>
  <c r="BO30" i="190"/>
  <c r="BN30" i="190"/>
  <c r="BM30" i="190"/>
  <c r="BL30" i="190"/>
  <c r="BK30" i="190"/>
  <c r="BJ30" i="190"/>
  <c r="BI30" i="190"/>
  <c r="BH30" i="190"/>
  <c r="BG30" i="190"/>
  <c r="BF30" i="190"/>
  <c r="R30" i="190"/>
  <c r="R29" i="190"/>
  <c r="R28" i="190"/>
  <c r="R27" i="190"/>
  <c r="R26" i="190"/>
  <c r="R25" i="190"/>
  <c r="R24" i="190"/>
  <c r="R23" i="190"/>
  <c r="R22" i="190"/>
  <c r="R21" i="190"/>
  <c r="R20" i="190"/>
  <c r="R19" i="190"/>
  <c r="R18" i="190"/>
  <c r="R17" i="190"/>
  <c r="R16" i="190"/>
  <c r="R15" i="190"/>
  <c r="AO14" i="190"/>
  <c r="AO15" i="190" s="1"/>
  <c r="R14" i="190"/>
  <c r="N10" i="190"/>
  <c r="K10" i="190"/>
  <c r="B10" i="190"/>
  <c r="K9" i="190"/>
  <c r="B9" i="190"/>
  <c r="N7" i="190"/>
  <c r="N6" i="190"/>
  <c r="I4" i="190"/>
  <c r="I2" i="190"/>
  <c r="T1" i="190"/>
  <c r="S1" i="190"/>
  <c r="I1" i="190"/>
  <c r="R55" i="189"/>
  <c r="R54" i="189"/>
  <c r="R53" i="189"/>
  <c r="R52" i="189"/>
  <c r="R51" i="189"/>
  <c r="R50" i="189"/>
  <c r="R49" i="189"/>
  <c r="R48" i="189"/>
  <c r="R47" i="189"/>
  <c r="R46" i="189"/>
  <c r="R45" i="189"/>
  <c r="R44" i="189"/>
  <c r="R43" i="189"/>
  <c r="R42" i="189"/>
  <c r="R41" i="189"/>
  <c r="R40" i="189"/>
  <c r="R39" i="189"/>
  <c r="R38" i="189"/>
  <c r="R37" i="189"/>
  <c r="R36" i="189"/>
  <c r="R35" i="189"/>
  <c r="R34" i="189"/>
  <c r="R33" i="189"/>
  <c r="R32" i="189"/>
  <c r="R31" i="189"/>
  <c r="CC30" i="189"/>
  <c r="CB30" i="189"/>
  <c r="CA30" i="189"/>
  <c r="BZ30" i="189"/>
  <c r="BY30" i="189"/>
  <c r="BX30" i="189"/>
  <c r="BW30" i="189"/>
  <c r="BV30" i="189"/>
  <c r="BU30" i="189"/>
  <c r="BT30" i="189"/>
  <c r="BS30" i="189"/>
  <c r="BR30" i="189"/>
  <c r="BQ30" i="189"/>
  <c r="BP30" i="189"/>
  <c r="BO30" i="189"/>
  <c r="BN30" i="189"/>
  <c r="BM30" i="189"/>
  <c r="BL30" i="189"/>
  <c r="BK30" i="189"/>
  <c r="BJ30" i="189"/>
  <c r="BI30" i="189"/>
  <c r="BH30" i="189"/>
  <c r="BG30" i="189"/>
  <c r="BF30" i="189"/>
  <c r="R30" i="189"/>
  <c r="R29" i="189"/>
  <c r="R28" i="189"/>
  <c r="R27" i="189"/>
  <c r="R26" i="189"/>
  <c r="R25" i="189"/>
  <c r="R24" i="189"/>
  <c r="R23" i="189"/>
  <c r="R22" i="189"/>
  <c r="R21" i="189"/>
  <c r="R20" i="189"/>
  <c r="R19" i="189"/>
  <c r="R18" i="189"/>
  <c r="R17" i="189"/>
  <c r="R16" i="189"/>
  <c r="R15" i="189"/>
  <c r="AO14" i="189"/>
  <c r="AO15" i="189" s="1"/>
  <c r="R14" i="189"/>
  <c r="N10" i="189"/>
  <c r="K10" i="189"/>
  <c r="B10" i="189"/>
  <c r="K9" i="189"/>
  <c r="B9" i="189"/>
  <c r="N7" i="189"/>
  <c r="N6" i="189"/>
  <c r="T1" i="189"/>
  <c r="S1" i="189"/>
  <c r="I4" i="189" s="1"/>
  <c r="I1" i="189"/>
  <c r="O7" i="186"/>
  <c r="Y7" i="185"/>
  <c r="Y7" i="184"/>
  <c r="Y7" i="183"/>
  <c r="Y7" i="182"/>
  <c r="X7" i="180"/>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E45" i="180" s="1"/>
  <c r="GH85" i="180"/>
  <c r="GG85" i="180"/>
  <c r="AW45" i="180" s="1"/>
  <c r="GF85" i="180"/>
  <c r="GE85" i="180"/>
  <c r="AQ45" i="180" s="1"/>
  <c r="GD85" i="180"/>
  <c r="AP45" i="180" s="1"/>
  <c r="FM85" i="180"/>
  <c r="FD85" i="180"/>
  <c r="FB85" i="180"/>
  <c r="EX85" i="180"/>
  <c r="EO85" i="180"/>
  <c r="EM85" i="180"/>
  <c r="EI85" i="180"/>
  <c r="ED85" i="180"/>
  <c r="EB85" i="180"/>
  <c r="DU85" i="180"/>
  <c r="DY85" i="180" s="1"/>
  <c r="DS85" i="180"/>
  <c r="DT85" i="180" s="1"/>
  <c r="DX85" i="180" s="1"/>
  <c r="DH85" i="180"/>
  <c r="DG85" i="180"/>
  <c r="DE85" i="180"/>
  <c r="DD85" i="180"/>
  <c r="I45" i="180" s="1"/>
  <c r="BS45" i="180" s="1"/>
  <c r="DC85" i="180"/>
  <c r="DB85" i="180"/>
  <c r="DA85" i="180"/>
  <c r="CY85" i="180"/>
  <c r="CX85" i="180"/>
  <c r="CW85" i="180"/>
  <c r="CU85" i="180"/>
  <c r="CT85" i="180"/>
  <c r="EP85" i="180" s="1"/>
  <c r="CS85" i="180"/>
  <c r="CR85" i="180"/>
  <c r="CQ85" i="180"/>
  <c r="CP85" i="180"/>
  <c r="CO85" i="180"/>
  <c r="FE85" i="180" s="1"/>
  <c r="CN85" i="180"/>
  <c r="CM85" i="180"/>
  <c r="CL85" i="180"/>
  <c r="EH85" i="180" s="1"/>
  <c r="EJ85" i="180" s="1"/>
  <c r="CK85" i="180"/>
  <c r="EK85" i="180" s="1"/>
  <c r="EL85" i="180" s="1"/>
  <c r="CJ85" i="180"/>
  <c r="CI85" i="180"/>
  <c r="CH85" i="180"/>
  <c r="CG85" i="180"/>
  <c r="DZ85" i="180" s="1"/>
  <c r="O45" i="180" s="1"/>
  <c r="CF85" i="180"/>
  <c r="CE85" i="180"/>
  <c r="CD85" i="180"/>
  <c r="CV85" i="180" s="1"/>
  <c r="DK85" i="180" s="1"/>
  <c r="CC85" i="180"/>
  <c r="EF85" i="180" s="1"/>
  <c r="CB85" i="180"/>
  <c r="GI84" i="180"/>
  <c r="BE44" i="180" s="1"/>
  <c r="GH84" i="180"/>
  <c r="BA44" i="180" s="1"/>
  <c r="GG84" i="180"/>
  <c r="GF84" i="180"/>
  <c r="AR44" i="180" s="1"/>
  <c r="FF84" i="180" s="1"/>
  <c r="GE84" i="180"/>
  <c r="GD84" i="180"/>
  <c r="AP44" i="180" s="1"/>
  <c r="FM84" i="180"/>
  <c r="FD84" i="180"/>
  <c r="FB84" i="180"/>
  <c r="EX84" i="180"/>
  <c r="EO84" i="180"/>
  <c r="EK84" i="180"/>
  <c r="EI84" i="180"/>
  <c r="EH84" i="180"/>
  <c r="EJ84" i="180" s="1"/>
  <c r="ED84" i="180"/>
  <c r="EB84" i="180"/>
  <c r="EA84" i="180"/>
  <c r="DZ84" i="180"/>
  <c r="DE84" i="180"/>
  <c r="DC84" i="180"/>
  <c r="DB84" i="180"/>
  <c r="CY84" i="180"/>
  <c r="CU84" i="180"/>
  <c r="CT84" i="180"/>
  <c r="EP84" i="180" s="1"/>
  <c r="CS84" i="180"/>
  <c r="CR84" i="180"/>
  <c r="CQ84" i="180"/>
  <c r="DS84" i="180" s="1"/>
  <c r="CP84" i="180"/>
  <c r="FC84" i="180" s="1"/>
  <c r="CO84" i="180"/>
  <c r="FE84" i="180" s="1"/>
  <c r="CN84" i="180"/>
  <c r="CM84" i="180"/>
  <c r="DJ84" i="180" s="1"/>
  <c r="CL84" i="180"/>
  <c r="CK84" i="180"/>
  <c r="CJ84" i="180"/>
  <c r="CI84" i="180"/>
  <c r="CH84" i="180"/>
  <c r="CG84" i="180"/>
  <c r="CF84" i="180"/>
  <c r="CW84" i="180" s="1"/>
  <c r="CE84" i="180"/>
  <c r="CD84" i="180"/>
  <c r="CC84" i="180"/>
  <c r="EE84" i="180" s="1"/>
  <c r="EG84" i="180" s="1"/>
  <c r="DL84" i="180" s="1"/>
  <c r="CB84" i="180"/>
  <c r="GI83" i="180"/>
  <c r="BD43" i="180" s="1"/>
  <c r="FI83" i="180" s="1"/>
  <c r="GH83" i="180"/>
  <c r="BA43" i="180" s="1"/>
  <c r="GG83" i="180"/>
  <c r="AW43" i="180" s="1"/>
  <c r="GF83" i="180"/>
  <c r="GE83" i="180"/>
  <c r="AQ43" i="180" s="1"/>
  <c r="GD83" i="180"/>
  <c r="FM83" i="180"/>
  <c r="FC83" i="180"/>
  <c r="EX83" i="180"/>
  <c r="EL83" i="180"/>
  <c r="EM83" i="180" s="1"/>
  <c r="EK83" i="180"/>
  <c r="EI83" i="180"/>
  <c r="EH83" i="180"/>
  <c r="EJ83" i="180" s="1"/>
  <c r="DS83" i="180" s="1"/>
  <c r="ED83" i="180"/>
  <c r="EB83" i="180"/>
  <c r="EA83" i="180"/>
  <c r="DJ83" i="180"/>
  <c r="DI83" i="180"/>
  <c r="DH83" i="180"/>
  <c r="DG83" i="180"/>
  <c r="DE83" i="180"/>
  <c r="CY83" i="180"/>
  <c r="CV83" i="180"/>
  <c r="DK83" i="180" s="1"/>
  <c r="CU83" i="180"/>
  <c r="CT83" i="180"/>
  <c r="EP83" i="180" s="1"/>
  <c r="CS83" i="180"/>
  <c r="EW83" i="180" s="1"/>
  <c r="CR83" i="180"/>
  <c r="CQ83" i="180"/>
  <c r="CP83" i="180"/>
  <c r="CO83" i="180"/>
  <c r="CN83" i="180"/>
  <c r="CM83" i="180"/>
  <c r="CL83" i="180"/>
  <c r="CK83" i="180"/>
  <c r="CJ83" i="180"/>
  <c r="CI83" i="180"/>
  <c r="CH83" i="180"/>
  <c r="CG83" i="180"/>
  <c r="DZ83" i="180" s="1"/>
  <c r="CF83" i="180"/>
  <c r="EO83" i="180" s="1"/>
  <c r="CE83" i="180"/>
  <c r="CD83" i="180"/>
  <c r="DA83" i="180" s="1"/>
  <c r="CC83" i="180"/>
  <c r="CB83" i="180"/>
  <c r="GI82" i="180"/>
  <c r="BD42" i="180" s="1"/>
  <c r="FI82" i="180" s="1"/>
  <c r="GH82" i="180"/>
  <c r="BA42" i="180" s="1"/>
  <c r="GG82" i="180"/>
  <c r="GF82" i="180"/>
  <c r="GE82" i="180"/>
  <c r="AQ42" i="180" s="1"/>
  <c r="GD82" i="180"/>
  <c r="FM82" i="180"/>
  <c r="FE82" i="180"/>
  <c r="FD82" i="180"/>
  <c r="FB82" i="180"/>
  <c r="EX82" i="180"/>
  <c r="EO82" i="180"/>
  <c r="EL82" i="180"/>
  <c r="EM82" i="180" s="1"/>
  <c r="EK82" i="180"/>
  <c r="ED82" i="180"/>
  <c r="EB82" i="180"/>
  <c r="EA82" i="180"/>
  <c r="DZ82" i="180"/>
  <c r="P42" i="180" s="1"/>
  <c r="DJ82" i="180"/>
  <c r="DI82" i="180"/>
  <c r="DH82" i="180"/>
  <c r="DG82" i="180"/>
  <c r="DE82" i="180"/>
  <c r="CY82" i="180"/>
  <c r="CW82" i="180"/>
  <c r="CU82" i="180"/>
  <c r="CT82" i="180"/>
  <c r="EP82" i="180" s="1"/>
  <c r="CS82" i="180"/>
  <c r="EW82" i="180" s="1"/>
  <c r="CR82" i="180"/>
  <c r="CQ82" i="180"/>
  <c r="CP82" i="180"/>
  <c r="FC82" i="180" s="1"/>
  <c r="CO82" i="180"/>
  <c r="ET82" i="180" s="1"/>
  <c r="CN82" i="180"/>
  <c r="CM82" i="180"/>
  <c r="CL82" i="180"/>
  <c r="EI82" i="180" s="1"/>
  <c r="CK82" i="180"/>
  <c r="CJ82" i="180"/>
  <c r="CI82" i="180"/>
  <c r="CH82" i="180"/>
  <c r="CG82" i="180"/>
  <c r="CF82" i="180"/>
  <c r="CE82" i="180"/>
  <c r="CD82" i="180"/>
  <c r="CC82" i="180"/>
  <c r="EF82" i="180" s="1"/>
  <c r="CB82" i="180"/>
  <c r="GI81" i="180"/>
  <c r="GH81" i="180"/>
  <c r="AZ41" i="180" s="1"/>
  <c r="FH81" i="180" s="1"/>
  <c r="GG81" i="180"/>
  <c r="GF81" i="180"/>
  <c r="AR41" i="180" s="1"/>
  <c r="FF81" i="180" s="1"/>
  <c r="GE81" i="180"/>
  <c r="GD81" i="180"/>
  <c r="FM81" i="180"/>
  <c r="FE81" i="180"/>
  <c r="EX81" i="180"/>
  <c r="ET81" i="180"/>
  <c r="EL81" i="180"/>
  <c r="EM81" i="180" s="1"/>
  <c r="EH81" i="180"/>
  <c r="EJ81" i="180" s="1"/>
  <c r="DS81" i="180" s="1"/>
  <c r="ED81" i="180"/>
  <c r="EB81" i="180"/>
  <c r="DJ81" i="180"/>
  <c r="DI81" i="180"/>
  <c r="DH81" i="180"/>
  <c r="DG81" i="180"/>
  <c r="DE81" i="180"/>
  <c r="CY81" i="180"/>
  <c r="CX81" i="180"/>
  <c r="CW81" i="180"/>
  <c r="M41" i="180" s="1"/>
  <c r="CV81" i="180"/>
  <c r="DK81" i="180" s="1"/>
  <c r="CU81" i="180"/>
  <c r="CT81" i="180"/>
  <c r="EP81" i="180" s="1"/>
  <c r="CS81" i="180"/>
  <c r="CR81" i="180"/>
  <c r="CQ81" i="180"/>
  <c r="CP81" i="180"/>
  <c r="FC81" i="180" s="1"/>
  <c r="CO81" i="180"/>
  <c r="CN81" i="180"/>
  <c r="CM81" i="180"/>
  <c r="CL81" i="180"/>
  <c r="EI81" i="180" s="1"/>
  <c r="CK81" i="180"/>
  <c r="EK81" i="180" s="1"/>
  <c r="CJ81" i="180"/>
  <c r="CI81" i="180"/>
  <c r="CH81" i="180"/>
  <c r="CG81" i="180"/>
  <c r="DZ81" i="180" s="1"/>
  <c r="CF81" i="180"/>
  <c r="EO81" i="180" s="1"/>
  <c r="CE81" i="180"/>
  <c r="CD81" i="180"/>
  <c r="CC81" i="180"/>
  <c r="EF81" i="180" s="1"/>
  <c r="CB81" i="180"/>
  <c r="GI80" i="180"/>
  <c r="BE40" i="180" s="1"/>
  <c r="GH80" i="180"/>
  <c r="BA40" i="180" s="1"/>
  <c r="GG80" i="180"/>
  <c r="AW40" i="180" s="1"/>
  <c r="GF80" i="180"/>
  <c r="AS40" i="180" s="1"/>
  <c r="GE80" i="180"/>
  <c r="AQ40" i="180" s="1"/>
  <c r="GD80" i="180"/>
  <c r="FM80" i="180"/>
  <c r="FE80" i="180"/>
  <c r="FD80" i="180"/>
  <c r="EX80" i="180"/>
  <c r="ET80" i="180"/>
  <c r="EK80" i="180"/>
  <c r="EJ80" i="180"/>
  <c r="DS80" i="180" s="1"/>
  <c r="EI80" i="180"/>
  <c r="ED80" i="180"/>
  <c r="EB80" i="180"/>
  <c r="EA80" i="180"/>
  <c r="DZ80" i="180"/>
  <c r="DJ80" i="180"/>
  <c r="DH80" i="180"/>
  <c r="DG80" i="180"/>
  <c r="DE80" i="180"/>
  <c r="DD80" i="180"/>
  <c r="G40" i="180" s="1"/>
  <c r="CY80" i="180"/>
  <c r="CX80" i="180"/>
  <c r="CU80" i="180"/>
  <c r="CT80" i="180"/>
  <c r="EP80" i="180" s="1"/>
  <c r="CS80" i="180"/>
  <c r="EW80" i="180" s="1"/>
  <c r="CR80" i="180"/>
  <c r="CQ80" i="180"/>
  <c r="CP80" i="180"/>
  <c r="FC80" i="180" s="1"/>
  <c r="CO80" i="180"/>
  <c r="CN80" i="180"/>
  <c r="CM80" i="180"/>
  <c r="DI80" i="180" s="1"/>
  <c r="CL80" i="180"/>
  <c r="EH80" i="180" s="1"/>
  <c r="CK80" i="180"/>
  <c r="CJ80" i="180"/>
  <c r="CI80" i="180"/>
  <c r="CH80" i="180"/>
  <c r="CG80" i="180"/>
  <c r="FB80" i="180" s="1"/>
  <c r="CF80" i="180"/>
  <c r="CW80" i="180" s="1"/>
  <c r="CE80" i="180"/>
  <c r="CD80" i="180"/>
  <c r="DC80" i="180" s="1"/>
  <c r="CC80" i="180"/>
  <c r="EF80" i="180" s="1"/>
  <c r="CB80" i="180"/>
  <c r="GI79" i="180"/>
  <c r="BD39" i="180" s="1"/>
  <c r="FI79" i="180" s="1"/>
  <c r="GH79" i="180"/>
  <c r="BA39" i="180" s="1"/>
  <c r="GG79" i="180"/>
  <c r="GF79" i="180"/>
  <c r="AS39" i="180" s="1"/>
  <c r="GE79" i="180"/>
  <c r="GD79" i="180"/>
  <c r="AP39" i="180" s="1"/>
  <c r="FM79" i="180"/>
  <c r="FE79" i="180"/>
  <c r="FB79" i="180"/>
  <c r="EX79" i="180"/>
  <c r="EL79" i="180"/>
  <c r="EM79" i="180" s="1"/>
  <c r="EK79" i="180"/>
  <c r="EI79" i="180"/>
  <c r="ED79" i="180"/>
  <c r="EB79" i="180"/>
  <c r="DJ79" i="180"/>
  <c r="DI79" i="180"/>
  <c r="DH79" i="180"/>
  <c r="DG79" i="180"/>
  <c r="DE79" i="180"/>
  <c r="CY79" i="180"/>
  <c r="CW79" i="180"/>
  <c r="M39" i="180" s="1"/>
  <c r="CV79" i="180"/>
  <c r="DK79" i="180" s="1"/>
  <c r="CU79" i="180"/>
  <c r="CT79" i="180"/>
  <c r="EP79" i="180" s="1"/>
  <c r="CS79" i="180"/>
  <c r="EW79" i="180" s="1"/>
  <c r="CR79" i="180"/>
  <c r="CQ79" i="180"/>
  <c r="CP79" i="180"/>
  <c r="CO79" i="180"/>
  <c r="ET79" i="180" s="1"/>
  <c r="CN79" i="180"/>
  <c r="CM79" i="180"/>
  <c r="CL79" i="180"/>
  <c r="EH79" i="180" s="1"/>
  <c r="EJ79" i="180" s="1"/>
  <c r="DS79" i="180" s="1"/>
  <c r="CK79" i="180"/>
  <c r="CJ79" i="180"/>
  <c r="CI79" i="180"/>
  <c r="CH79" i="180"/>
  <c r="CG79" i="180"/>
  <c r="DZ79" i="180" s="1"/>
  <c r="CF79" i="180"/>
  <c r="EO79" i="180" s="1"/>
  <c r="CE79" i="180"/>
  <c r="CD79" i="180"/>
  <c r="DD79" i="180" s="1"/>
  <c r="H39" i="180" s="1"/>
  <c r="CC79" i="180"/>
  <c r="EE79" i="180" s="1"/>
  <c r="EG79" i="180" s="1"/>
  <c r="DL79" i="180" s="1"/>
  <c r="CB79" i="180"/>
  <c r="GI78" i="180"/>
  <c r="BD38" i="180" s="1"/>
  <c r="FI78" i="180" s="1"/>
  <c r="GH78" i="180"/>
  <c r="GG78" i="180"/>
  <c r="AV38" i="180" s="1"/>
  <c r="FG78" i="180" s="1"/>
  <c r="GF78" i="180"/>
  <c r="AS38" i="180" s="1"/>
  <c r="GE78" i="180"/>
  <c r="AQ38" i="180" s="1"/>
  <c r="GD78" i="180"/>
  <c r="AP38" i="180" s="1"/>
  <c r="FM78" i="180"/>
  <c r="FE78" i="180"/>
  <c r="FD78" i="180"/>
  <c r="FC78" i="180"/>
  <c r="EX78" i="180"/>
  <c r="ET78" i="180"/>
  <c r="EK78" i="180"/>
  <c r="ED78" i="180"/>
  <c r="EB78" i="180"/>
  <c r="EA78" i="180"/>
  <c r="DZ78" i="180"/>
  <c r="DJ78" i="180"/>
  <c r="DI78" i="180"/>
  <c r="DH78" i="180"/>
  <c r="DG78" i="180"/>
  <c r="DE78" i="180"/>
  <c r="DB78" i="180"/>
  <c r="CY78" i="180"/>
  <c r="CX78" i="180"/>
  <c r="CU78" i="180"/>
  <c r="EL78" i="180" s="1"/>
  <c r="EM78" i="180" s="1"/>
  <c r="CT78" i="180"/>
  <c r="EP78" i="180" s="1"/>
  <c r="CS78" i="180"/>
  <c r="CR78" i="180"/>
  <c r="CQ78" i="180"/>
  <c r="CP78" i="180"/>
  <c r="CO78" i="180"/>
  <c r="CN78" i="180"/>
  <c r="CM78" i="180"/>
  <c r="CL78" i="180"/>
  <c r="EI78" i="180" s="1"/>
  <c r="CK78" i="180"/>
  <c r="CJ78" i="180"/>
  <c r="CI78" i="180"/>
  <c r="CH78" i="180"/>
  <c r="CG78" i="180"/>
  <c r="FB78" i="180" s="1"/>
  <c r="CF78" i="180"/>
  <c r="CW78" i="180" s="1"/>
  <c r="M38" i="180" s="1"/>
  <c r="CE78" i="180"/>
  <c r="CD78" i="180"/>
  <c r="DD78" i="180" s="1"/>
  <c r="CC78" i="180"/>
  <c r="EF78" i="180" s="1"/>
  <c r="CB78" i="180"/>
  <c r="GI77" i="180"/>
  <c r="BE37" i="180" s="1"/>
  <c r="GH77" i="180"/>
  <c r="BA37" i="180" s="1"/>
  <c r="GG77" i="180"/>
  <c r="AW37" i="180" s="1"/>
  <c r="GF77" i="180"/>
  <c r="AR37" i="180" s="1"/>
  <c r="FF77" i="180" s="1"/>
  <c r="GE77" i="180"/>
  <c r="GD77" i="180"/>
  <c r="AP37" i="180" s="1"/>
  <c r="FM77" i="180"/>
  <c r="FE77" i="180"/>
  <c r="FC77" i="180"/>
  <c r="EX77" i="180"/>
  <c r="EW77" i="180"/>
  <c r="ET77" i="180"/>
  <c r="ED77" i="180"/>
  <c r="EB77" i="180"/>
  <c r="EA77" i="180"/>
  <c r="DZ77" i="180"/>
  <c r="DJ77" i="180"/>
  <c r="DI77" i="180"/>
  <c r="DH77" i="180"/>
  <c r="DG77" i="180"/>
  <c r="DE77" i="180"/>
  <c r="CY77" i="180"/>
  <c r="CX77" i="180"/>
  <c r="CU77" i="180"/>
  <c r="EL77" i="180" s="1"/>
  <c r="EM77" i="180" s="1"/>
  <c r="CT77" i="180"/>
  <c r="EP77" i="180" s="1"/>
  <c r="CS77" i="180"/>
  <c r="CR77" i="180"/>
  <c r="CQ77" i="180"/>
  <c r="CP77" i="180"/>
  <c r="CO77" i="180"/>
  <c r="CN77" i="180"/>
  <c r="CM77" i="180"/>
  <c r="CL77" i="180"/>
  <c r="EI77" i="180" s="1"/>
  <c r="CK77" i="180"/>
  <c r="EK77" i="180" s="1"/>
  <c r="CJ77" i="180"/>
  <c r="CI77" i="180"/>
  <c r="CH77" i="180"/>
  <c r="CG77" i="180"/>
  <c r="FB77" i="180" s="1"/>
  <c r="CF77" i="180"/>
  <c r="EO77" i="180" s="1"/>
  <c r="CE77" i="180"/>
  <c r="CD77" i="180"/>
  <c r="CC77" i="180"/>
  <c r="EE77" i="180" s="1"/>
  <c r="EG77" i="180" s="1"/>
  <c r="DL77" i="180" s="1"/>
  <c r="CB77" i="180"/>
  <c r="GI76" i="180"/>
  <c r="BD36" i="180" s="1"/>
  <c r="FI76" i="180" s="1"/>
  <c r="GH76" i="180"/>
  <c r="GG76" i="180"/>
  <c r="AW36" i="180" s="1"/>
  <c r="GF76" i="180"/>
  <c r="AS36" i="180" s="1"/>
  <c r="GE76" i="180"/>
  <c r="GD76" i="180"/>
  <c r="FM76" i="180"/>
  <c r="FE76" i="180"/>
  <c r="FB76" i="180"/>
  <c r="EX76" i="180"/>
  <c r="ET76" i="180"/>
  <c r="EI76" i="180"/>
  <c r="ED76" i="180"/>
  <c r="EB76" i="180"/>
  <c r="DZ76" i="180"/>
  <c r="DE76" i="180"/>
  <c r="DC76" i="180"/>
  <c r="DB76" i="180"/>
  <c r="CY76" i="180"/>
  <c r="CX76" i="180"/>
  <c r="CV76" i="180"/>
  <c r="DK76" i="180" s="1"/>
  <c r="CU76" i="180"/>
  <c r="CT76" i="180"/>
  <c r="EP76" i="180" s="1"/>
  <c r="CS76" i="180"/>
  <c r="CR76" i="180"/>
  <c r="CQ76" i="180"/>
  <c r="CP76" i="180"/>
  <c r="EA76" i="180" s="1"/>
  <c r="CO76" i="180"/>
  <c r="CN76" i="180"/>
  <c r="CM76" i="180"/>
  <c r="DJ76" i="180" s="1"/>
  <c r="CL76" i="180"/>
  <c r="CK76" i="180"/>
  <c r="EK76" i="180" s="1"/>
  <c r="EL76" i="180" s="1"/>
  <c r="EM76" i="180" s="1"/>
  <c r="CJ76" i="180"/>
  <c r="EV76" i="180" s="1"/>
  <c r="CI76" i="180"/>
  <c r="CH76" i="180"/>
  <c r="CG76" i="180"/>
  <c r="CF76" i="180"/>
  <c r="CE76" i="180"/>
  <c r="CD76" i="180"/>
  <c r="DD76" i="180" s="1"/>
  <c r="CC76" i="180"/>
  <c r="EF76" i="180" s="1"/>
  <c r="CB76" i="180"/>
  <c r="GI75" i="180"/>
  <c r="BE35" i="180" s="1"/>
  <c r="GH75" i="180"/>
  <c r="GG75" i="180"/>
  <c r="AW35" i="180" s="1"/>
  <c r="GF75" i="180"/>
  <c r="AS35" i="180" s="1"/>
  <c r="GE75" i="180"/>
  <c r="AQ35" i="180" s="1"/>
  <c r="GD75" i="180"/>
  <c r="AP35" i="180" s="1"/>
  <c r="FM75" i="180"/>
  <c r="FD75" i="180"/>
  <c r="EX75" i="180"/>
  <c r="ET75" i="180"/>
  <c r="EK75" i="180"/>
  <c r="EL75" i="180" s="1"/>
  <c r="EM75" i="180" s="1"/>
  <c r="ED75" i="180"/>
  <c r="EB75" i="180"/>
  <c r="DH75" i="180"/>
  <c r="DE75" i="180"/>
  <c r="DD75" i="180"/>
  <c r="I35" i="180" s="1"/>
  <c r="BS35" i="180" s="1"/>
  <c r="DC75" i="180"/>
  <c r="DB75" i="180"/>
  <c r="DA75" i="180"/>
  <c r="CY75" i="180"/>
  <c r="CX75" i="180"/>
  <c r="CV75" i="180"/>
  <c r="DK75" i="180" s="1"/>
  <c r="CU75" i="180"/>
  <c r="CT75" i="180"/>
  <c r="EP75" i="180" s="1"/>
  <c r="CS75" i="180"/>
  <c r="CR75" i="180"/>
  <c r="CQ75" i="180"/>
  <c r="CP75" i="180"/>
  <c r="EA75" i="180" s="1"/>
  <c r="CO75" i="180"/>
  <c r="FE75" i="180" s="1"/>
  <c r="CN75" i="180"/>
  <c r="CM75" i="180"/>
  <c r="DJ75" i="180" s="1"/>
  <c r="CL75" i="180"/>
  <c r="CK75" i="180"/>
  <c r="CJ75" i="180"/>
  <c r="CI75" i="180"/>
  <c r="CH75" i="180"/>
  <c r="CG75" i="180"/>
  <c r="DZ75" i="180" s="1"/>
  <c r="P35" i="180" s="1"/>
  <c r="CF75" i="180"/>
  <c r="CW75" i="180" s="1"/>
  <c r="CE75" i="180"/>
  <c r="CD75" i="180"/>
  <c r="CC75" i="180"/>
  <c r="EE75" i="180" s="1"/>
  <c r="EG75" i="180" s="1"/>
  <c r="CB75" i="180"/>
  <c r="GI74" i="180"/>
  <c r="BE34" i="180" s="1"/>
  <c r="GH74" i="180"/>
  <c r="GG74" i="180"/>
  <c r="AV34" i="180" s="1"/>
  <c r="FG74" i="180" s="1"/>
  <c r="GF74" i="180"/>
  <c r="GE74" i="180"/>
  <c r="AQ34" i="180" s="1"/>
  <c r="GD74" i="180"/>
  <c r="AP34" i="180" s="1"/>
  <c r="FM74" i="180"/>
  <c r="FD74" i="180"/>
  <c r="FC74" i="180"/>
  <c r="FB74" i="180"/>
  <c r="EX74" i="180"/>
  <c r="ET74" i="180"/>
  <c r="ED74" i="180"/>
  <c r="EB74" i="180"/>
  <c r="DZ74" i="180"/>
  <c r="DJ74" i="180"/>
  <c r="DG74" i="180"/>
  <c r="DE74" i="180"/>
  <c r="EW74" i="180" s="1"/>
  <c r="DD74" i="180"/>
  <c r="CY74" i="180"/>
  <c r="CX74" i="180"/>
  <c r="CW74" i="180"/>
  <c r="M34" i="180" s="1"/>
  <c r="CU74" i="180"/>
  <c r="CT74" i="180"/>
  <c r="EP74" i="180" s="1"/>
  <c r="CS74" i="180"/>
  <c r="CR74" i="180"/>
  <c r="CQ74" i="180"/>
  <c r="CP74" i="180"/>
  <c r="EA74" i="180" s="1"/>
  <c r="CO74" i="180"/>
  <c r="FE74" i="180" s="1"/>
  <c r="CN74" i="180"/>
  <c r="CM74" i="180"/>
  <c r="DI74" i="180" s="1"/>
  <c r="CL74" i="180"/>
  <c r="EI74" i="180" s="1"/>
  <c r="CK74" i="180"/>
  <c r="EK74" i="180" s="1"/>
  <c r="EL74" i="180" s="1"/>
  <c r="EM74" i="180" s="1"/>
  <c r="CJ74" i="180"/>
  <c r="CI74" i="180"/>
  <c r="CH74" i="180"/>
  <c r="CG74" i="180"/>
  <c r="CF74" i="180"/>
  <c r="EO74" i="180" s="1"/>
  <c r="CE74" i="180"/>
  <c r="CD74" i="180"/>
  <c r="CV74" i="180" s="1"/>
  <c r="CC74" i="180"/>
  <c r="EF74" i="180" s="1"/>
  <c r="CB74" i="180"/>
  <c r="GI73" i="180"/>
  <c r="BE33" i="180" s="1"/>
  <c r="GH73" i="180"/>
  <c r="AZ33" i="180" s="1"/>
  <c r="FH73" i="180" s="1"/>
  <c r="GG73" i="180"/>
  <c r="AV33" i="180" s="1"/>
  <c r="FG73" i="180" s="1"/>
  <c r="GF73" i="180"/>
  <c r="AS33" i="180" s="1"/>
  <c r="GE73" i="180"/>
  <c r="AQ33" i="180" s="1"/>
  <c r="GD73" i="180"/>
  <c r="AP33" i="180" s="1"/>
  <c r="FM73" i="180"/>
  <c r="FE73" i="180"/>
  <c r="FD73" i="180"/>
  <c r="FB73" i="180"/>
  <c r="EX73" i="180"/>
  <c r="EO73" i="180"/>
  <c r="EL73" i="180"/>
  <c r="EM73" i="180" s="1"/>
  <c r="EK73" i="180"/>
  <c r="ED73" i="180"/>
  <c r="EB73" i="180"/>
  <c r="DZ73" i="180"/>
  <c r="DE73" i="180"/>
  <c r="DD73" i="180"/>
  <c r="H33" i="180" s="1"/>
  <c r="DC73" i="180"/>
  <c r="DB73" i="180"/>
  <c r="CY73" i="180"/>
  <c r="CU73" i="180"/>
  <c r="EQ73" i="180" s="1"/>
  <c r="ER73" i="180" s="1"/>
  <c r="CT73" i="180"/>
  <c r="EP73" i="180" s="1"/>
  <c r="CS73" i="180"/>
  <c r="CR73" i="180"/>
  <c r="CQ73" i="180"/>
  <c r="CP73" i="180"/>
  <c r="EA73" i="180" s="1"/>
  <c r="CO73" i="180"/>
  <c r="ET73" i="180" s="1"/>
  <c r="CN73" i="180"/>
  <c r="CM73" i="180"/>
  <c r="CL73" i="180"/>
  <c r="EI73" i="180" s="1"/>
  <c r="CK73" i="180"/>
  <c r="CJ73" i="180"/>
  <c r="CI73" i="180"/>
  <c r="CH73" i="180"/>
  <c r="CG73" i="180"/>
  <c r="CF73" i="180"/>
  <c r="CW73" i="180" s="1"/>
  <c r="M33" i="180" s="1"/>
  <c r="CE73" i="180"/>
  <c r="CD73" i="180"/>
  <c r="DA73" i="180" s="1"/>
  <c r="CC73" i="180"/>
  <c r="EF73" i="180" s="1"/>
  <c r="CB73" i="180"/>
  <c r="GI72" i="180"/>
  <c r="BD32" i="180" s="1"/>
  <c r="FI72" i="180" s="1"/>
  <c r="GH72" i="180"/>
  <c r="GG72" i="180"/>
  <c r="AV32" i="180" s="1"/>
  <c r="FG72" i="180" s="1"/>
  <c r="GF72" i="180"/>
  <c r="AS32" i="180" s="1"/>
  <c r="GE72" i="180"/>
  <c r="AQ32" i="180" s="1"/>
  <c r="GD72" i="180"/>
  <c r="AP32" i="180" s="1"/>
  <c r="FM72" i="180"/>
  <c r="FD72" i="180"/>
  <c r="FB72" i="180"/>
  <c r="EX72" i="180"/>
  <c r="EK72" i="180"/>
  <c r="ED72" i="180"/>
  <c r="EB72" i="180"/>
  <c r="EA72" i="180"/>
  <c r="DZ72" i="180"/>
  <c r="DJ72" i="180"/>
  <c r="DH72" i="180"/>
  <c r="DG72" i="180"/>
  <c r="DE72" i="180"/>
  <c r="DD72" i="180"/>
  <c r="G32" i="180" s="1"/>
  <c r="CY72" i="180"/>
  <c r="CU72" i="180"/>
  <c r="CT72" i="180"/>
  <c r="EP72" i="180" s="1"/>
  <c r="CS72" i="180"/>
  <c r="CR72" i="180"/>
  <c r="CQ72" i="180"/>
  <c r="CP72" i="180"/>
  <c r="FC72" i="180" s="1"/>
  <c r="CO72" i="180"/>
  <c r="CN72" i="180"/>
  <c r="CM72" i="180"/>
  <c r="DI72" i="180" s="1"/>
  <c r="CL72" i="180"/>
  <c r="EI72" i="180" s="1"/>
  <c r="CK72" i="180"/>
  <c r="CJ72" i="180"/>
  <c r="CI72" i="180"/>
  <c r="CH72" i="180"/>
  <c r="CG72" i="180"/>
  <c r="CF72" i="180"/>
  <c r="CW72" i="180" s="1"/>
  <c r="M32" i="180" s="1"/>
  <c r="CE72" i="180"/>
  <c r="CD72" i="180"/>
  <c r="DC72" i="180" s="1"/>
  <c r="CC72" i="180"/>
  <c r="EF72" i="180" s="1"/>
  <c r="CB72" i="180"/>
  <c r="GI71" i="180"/>
  <c r="BE31" i="180" s="1"/>
  <c r="GH71" i="180"/>
  <c r="AZ31" i="180" s="1"/>
  <c r="FH71" i="180" s="1"/>
  <c r="GG71" i="180"/>
  <c r="AW31" i="180" s="1"/>
  <c r="GF71" i="180"/>
  <c r="AS31" i="180" s="1"/>
  <c r="GE71" i="180"/>
  <c r="AQ31" i="180" s="1"/>
  <c r="GD71" i="180"/>
  <c r="FM71" i="180"/>
  <c r="FE71" i="180"/>
  <c r="FB71" i="180"/>
  <c r="EX71" i="180"/>
  <c r="EL71" i="180"/>
  <c r="EM71" i="180" s="1"/>
  <c r="EK71" i="180"/>
  <c r="EI71" i="180"/>
  <c r="ED71" i="180"/>
  <c r="EB71" i="180"/>
  <c r="DJ71" i="180"/>
  <c r="DI71" i="180"/>
  <c r="DH71" i="180"/>
  <c r="DG71" i="180"/>
  <c r="DE71" i="180"/>
  <c r="CY71" i="180"/>
  <c r="CW71" i="180"/>
  <c r="CU71" i="180"/>
  <c r="CT71" i="180"/>
  <c r="EP71" i="180" s="1"/>
  <c r="CS71" i="180"/>
  <c r="EW71" i="180" s="1"/>
  <c r="CR71" i="180"/>
  <c r="CQ71" i="180"/>
  <c r="CP71" i="180"/>
  <c r="EA71" i="180" s="1"/>
  <c r="CO71" i="180"/>
  <c r="ET71" i="180" s="1"/>
  <c r="CN71" i="180"/>
  <c r="CM71" i="180"/>
  <c r="CL71" i="180"/>
  <c r="EH71" i="180" s="1"/>
  <c r="EJ71" i="180" s="1"/>
  <c r="CK71" i="180"/>
  <c r="CJ71" i="180"/>
  <c r="CI71" i="180"/>
  <c r="CH71" i="180"/>
  <c r="CG71" i="180"/>
  <c r="DZ71" i="180" s="1"/>
  <c r="CF71" i="180"/>
  <c r="EO71" i="180" s="1"/>
  <c r="CE71" i="180"/>
  <c r="CD71" i="180"/>
  <c r="DD71" i="180" s="1"/>
  <c r="I31" i="180" s="1"/>
  <c r="BS31" i="180" s="1"/>
  <c r="CC71" i="180"/>
  <c r="EE71" i="180" s="1"/>
  <c r="EG71" i="180" s="1"/>
  <c r="DL71" i="180" s="1"/>
  <c r="DN71" i="180" s="1"/>
  <c r="CB71" i="180"/>
  <c r="GI70" i="180"/>
  <c r="BE30" i="180" s="1"/>
  <c r="GH70" i="180"/>
  <c r="BA30" i="180" s="1"/>
  <c r="GG70" i="180"/>
  <c r="AW30" i="180" s="1"/>
  <c r="GF70" i="180"/>
  <c r="AS30" i="180" s="1"/>
  <c r="GE70" i="180"/>
  <c r="GD70" i="180"/>
  <c r="FM70" i="180"/>
  <c r="FE70" i="180"/>
  <c r="FD70" i="180"/>
  <c r="EX70" i="180"/>
  <c r="ET70" i="180"/>
  <c r="EO70" i="180"/>
  <c r="EK70" i="180"/>
  <c r="ED70" i="180"/>
  <c r="EB70" i="180"/>
  <c r="DJ70" i="180"/>
  <c r="DI70" i="180"/>
  <c r="DH70" i="180"/>
  <c r="DG70" i="180"/>
  <c r="DE70" i="180"/>
  <c r="DB70" i="180"/>
  <c r="CY70" i="180"/>
  <c r="CX70" i="180"/>
  <c r="CV70" i="180"/>
  <c r="DK70" i="180" s="1"/>
  <c r="CU70" i="180"/>
  <c r="EL70" i="180" s="1"/>
  <c r="EM70" i="180" s="1"/>
  <c r="CT70" i="180"/>
  <c r="EP70" i="180" s="1"/>
  <c r="CS70" i="180"/>
  <c r="CR70" i="180"/>
  <c r="CQ70" i="180"/>
  <c r="CP70" i="180"/>
  <c r="FC70" i="180" s="1"/>
  <c r="CO70" i="180"/>
  <c r="CN70" i="180"/>
  <c r="CM70" i="180"/>
  <c r="CL70" i="180"/>
  <c r="EI70" i="180" s="1"/>
  <c r="CK70" i="180"/>
  <c r="CJ70" i="180"/>
  <c r="CI70" i="180"/>
  <c r="CH70" i="180"/>
  <c r="CG70" i="180"/>
  <c r="CF70" i="180"/>
  <c r="CW70" i="180" s="1"/>
  <c r="M30" i="180" s="1"/>
  <c r="CE70" i="180"/>
  <c r="CD70" i="180"/>
  <c r="DD70" i="180" s="1"/>
  <c r="H30" i="180" s="1"/>
  <c r="CC70" i="180"/>
  <c r="EF70" i="180" s="1"/>
  <c r="CB70" i="180"/>
  <c r="GI69" i="180"/>
  <c r="GH69" i="180"/>
  <c r="BA29" i="180" s="1"/>
  <c r="GG69" i="180"/>
  <c r="AV29" i="180" s="1"/>
  <c r="FG69" i="180" s="1"/>
  <c r="GF69" i="180"/>
  <c r="AR29" i="180" s="1"/>
  <c r="FF69" i="180" s="1"/>
  <c r="GE69" i="180"/>
  <c r="AQ29" i="180" s="1"/>
  <c r="GD69" i="180"/>
  <c r="AP29" i="180" s="1"/>
  <c r="FM69" i="180"/>
  <c r="FE69" i="180"/>
  <c r="FC69" i="180"/>
  <c r="EX69" i="180"/>
  <c r="EW69" i="180"/>
  <c r="ET69" i="180"/>
  <c r="ED69" i="180"/>
  <c r="EB69" i="180"/>
  <c r="EA69" i="180"/>
  <c r="DZ69" i="180"/>
  <c r="DJ69" i="180"/>
  <c r="DI69" i="180"/>
  <c r="DH69" i="180"/>
  <c r="DG69" i="180"/>
  <c r="DE69" i="180"/>
  <c r="DA69" i="180"/>
  <c r="CY69" i="180"/>
  <c r="CX69" i="180"/>
  <c r="CU69" i="180"/>
  <c r="CT69" i="180"/>
  <c r="EP69" i="180" s="1"/>
  <c r="EQ69" i="180" s="1"/>
  <c r="ER69" i="180" s="1"/>
  <c r="ES69" i="180" s="1"/>
  <c r="Y29" i="180" s="1"/>
  <c r="CS69" i="180"/>
  <c r="CR69" i="180"/>
  <c r="CQ69" i="180"/>
  <c r="CP69" i="180"/>
  <c r="CO69" i="180"/>
  <c r="CN69" i="180"/>
  <c r="CM69" i="180"/>
  <c r="CL69" i="180"/>
  <c r="EI69" i="180" s="1"/>
  <c r="CK69" i="180"/>
  <c r="EK69" i="180" s="1"/>
  <c r="CJ69" i="180"/>
  <c r="CI69" i="180"/>
  <c r="CH69" i="180"/>
  <c r="CG69" i="180"/>
  <c r="FB69" i="180" s="1"/>
  <c r="CF69" i="180"/>
  <c r="EO69" i="180" s="1"/>
  <c r="CE69" i="180"/>
  <c r="CD69" i="180"/>
  <c r="CC69" i="180"/>
  <c r="EF69" i="180" s="1"/>
  <c r="CB69" i="180"/>
  <c r="GI68" i="180"/>
  <c r="BE28" i="180" s="1"/>
  <c r="GH68" i="180"/>
  <c r="AZ28" i="180" s="1"/>
  <c r="FH68" i="180" s="1"/>
  <c r="GG68" i="180"/>
  <c r="AW28" i="180" s="1"/>
  <c r="GF68" i="180"/>
  <c r="AS28" i="180" s="1"/>
  <c r="GE68" i="180"/>
  <c r="AQ28" i="180" s="1"/>
  <c r="GD68" i="180"/>
  <c r="AP28" i="180" s="1"/>
  <c r="FM68" i="180"/>
  <c r="FE68" i="180"/>
  <c r="EX68" i="180"/>
  <c r="ET68" i="180"/>
  <c r="ER68" i="180"/>
  <c r="EI68" i="180"/>
  <c r="ED68" i="180"/>
  <c r="EB68" i="180"/>
  <c r="DE68" i="180"/>
  <c r="DD68" i="180"/>
  <c r="I28" i="180" s="1"/>
  <c r="BS28" i="180" s="1"/>
  <c r="DC68" i="180"/>
  <c r="DB68" i="180"/>
  <c r="DA68" i="180"/>
  <c r="CY68" i="180"/>
  <c r="CX68" i="180"/>
  <c r="CW68" i="180"/>
  <c r="M28" i="180" s="1"/>
  <c r="CU68" i="180"/>
  <c r="EQ68" i="180" s="1"/>
  <c r="CT68" i="180"/>
  <c r="EP68" i="180" s="1"/>
  <c r="CS68" i="180"/>
  <c r="CR68" i="180"/>
  <c r="CQ68" i="180"/>
  <c r="CP68" i="180"/>
  <c r="EA68" i="180" s="1"/>
  <c r="R28" i="180" s="1"/>
  <c r="CO68" i="180"/>
  <c r="CN68" i="180"/>
  <c r="CM68" i="180"/>
  <c r="CL68" i="180"/>
  <c r="CK68" i="180"/>
  <c r="EK68" i="180" s="1"/>
  <c r="EL68" i="180" s="1"/>
  <c r="EM68" i="180" s="1"/>
  <c r="CJ68" i="180"/>
  <c r="CI68" i="180"/>
  <c r="CH68" i="180"/>
  <c r="CG68" i="180"/>
  <c r="CF68" i="180"/>
  <c r="CE68" i="180"/>
  <c r="CD68" i="180"/>
  <c r="CC68" i="180"/>
  <c r="EE68" i="180" s="1"/>
  <c r="EG68" i="180" s="1"/>
  <c r="DL68" i="180" s="1"/>
  <c r="CB68" i="180"/>
  <c r="GI67" i="180"/>
  <c r="BE27" i="180" s="1"/>
  <c r="GH67" i="180"/>
  <c r="BA27" i="180" s="1"/>
  <c r="GG67" i="180"/>
  <c r="GF67" i="180"/>
  <c r="AS27" i="180" s="1"/>
  <c r="GE67" i="180"/>
  <c r="GD67" i="180"/>
  <c r="FM67" i="180"/>
  <c r="FD67" i="180"/>
  <c r="FB67" i="180"/>
  <c r="EX67" i="180"/>
  <c r="EK67" i="180"/>
  <c r="EL67" i="180" s="1"/>
  <c r="EM67" i="180" s="1"/>
  <c r="EI67" i="180"/>
  <c r="ED67" i="180"/>
  <c r="EB67" i="180"/>
  <c r="DE67" i="180"/>
  <c r="DD67" i="180"/>
  <c r="H27" i="180" s="1"/>
  <c r="DC67" i="180"/>
  <c r="DB67" i="180"/>
  <c r="DA67" i="180"/>
  <c r="CY67" i="180"/>
  <c r="CX67" i="180"/>
  <c r="N27" i="180" s="1"/>
  <c r="CU67" i="180"/>
  <c r="CT67" i="180"/>
  <c r="EP67" i="180" s="1"/>
  <c r="CS67" i="180"/>
  <c r="CR67" i="180"/>
  <c r="CQ67" i="180"/>
  <c r="CP67" i="180"/>
  <c r="CO67" i="180"/>
  <c r="FE67" i="180" s="1"/>
  <c r="CN67" i="180"/>
  <c r="CM67" i="180"/>
  <c r="CL67" i="180"/>
  <c r="EH67" i="180" s="1"/>
  <c r="EJ67" i="180" s="1"/>
  <c r="DS67" i="180" s="1"/>
  <c r="DT67" i="180" s="1"/>
  <c r="CK67" i="180"/>
  <c r="CJ67" i="180"/>
  <c r="CI67" i="180"/>
  <c r="CH67" i="180"/>
  <c r="CG67" i="180"/>
  <c r="DZ67" i="180" s="1"/>
  <c r="CF67" i="180"/>
  <c r="CW67" i="180" s="1"/>
  <c r="M27" i="180" s="1"/>
  <c r="CE67" i="180"/>
  <c r="CD67" i="180"/>
  <c r="CC67" i="180"/>
  <c r="EF67" i="180" s="1"/>
  <c r="CB67" i="180"/>
  <c r="GI66" i="180"/>
  <c r="BE26" i="180" s="1"/>
  <c r="GH66" i="180"/>
  <c r="BA26" i="180" s="1"/>
  <c r="GG66" i="180"/>
  <c r="AV26" i="180" s="1"/>
  <c r="FG66" i="180" s="1"/>
  <c r="GF66" i="180"/>
  <c r="GE66" i="180"/>
  <c r="AQ26" i="180" s="1"/>
  <c r="GD66" i="180"/>
  <c r="FM66" i="180"/>
  <c r="FF66" i="180"/>
  <c r="FD66" i="180"/>
  <c r="FB66" i="180"/>
  <c r="EX66" i="180"/>
  <c r="EW66" i="180"/>
  <c r="EP66" i="180"/>
  <c r="EI66" i="180"/>
  <c r="ED66" i="180"/>
  <c r="EB66" i="180"/>
  <c r="DZ66" i="180"/>
  <c r="DE66" i="180"/>
  <c r="DD66" i="180"/>
  <c r="DC66" i="180"/>
  <c r="DB66" i="180"/>
  <c r="DA66" i="180"/>
  <c r="CY66" i="180"/>
  <c r="CW66" i="180"/>
  <c r="CU66" i="180"/>
  <c r="CT66" i="180"/>
  <c r="CS66" i="180"/>
  <c r="CR66" i="180"/>
  <c r="CQ66" i="180"/>
  <c r="CP66" i="180"/>
  <c r="EA66" i="180" s="1"/>
  <c r="CO66" i="180"/>
  <c r="CN66" i="180"/>
  <c r="CM66" i="180"/>
  <c r="DI66" i="180" s="1"/>
  <c r="CL66" i="180"/>
  <c r="EH66" i="180" s="1"/>
  <c r="EJ66" i="180" s="1"/>
  <c r="DS66" i="180" s="1"/>
  <c r="CK66" i="180"/>
  <c r="EK66" i="180" s="1"/>
  <c r="EL66" i="180" s="1"/>
  <c r="EM66" i="180" s="1"/>
  <c r="CJ66" i="180"/>
  <c r="CI66" i="180"/>
  <c r="CH66" i="180"/>
  <c r="CG66" i="180"/>
  <c r="CF66" i="180"/>
  <c r="EO66" i="180" s="1"/>
  <c r="CE66" i="180"/>
  <c r="CD66" i="180"/>
  <c r="CC66" i="180"/>
  <c r="EE66" i="180" s="1"/>
  <c r="EG66" i="180" s="1"/>
  <c r="DL66" i="180" s="1"/>
  <c r="CB66" i="180"/>
  <c r="GI65" i="180"/>
  <c r="BE25" i="180" s="1"/>
  <c r="GH65" i="180"/>
  <c r="GG65" i="180"/>
  <c r="AW25" i="180" s="1"/>
  <c r="GF65" i="180"/>
  <c r="AS25" i="180" s="1"/>
  <c r="GE65" i="180"/>
  <c r="GD65" i="180"/>
  <c r="FM65" i="180"/>
  <c r="FD65" i="180"/>
  <c r="FC65" i="180"/>
  <c r="FB65" i="180"/>
  <c r="EX65" i="180"/>
  <c r="EO65" i="180"/>
  <c r="EL65" i="180"/>
  <c r="EM65" i="180" s="1"/>
  <c r="EK65" i="180"/>
  <c r="ED65" i="180"/>
  <c r="EB65" i="180"/>
  <c r="DZ65" i="180"/>
  <c r="DI65" i="180"/>
  <c r="DE65" i="180"/>
  <c r="CY65" i="180"/>
  <c r="CU65" i="180"/>
  <c r="CT65" i="180"/>
  <c r="EP65" i="180" s="1"/>
  <c r="CS65" i="180"/>
  <c r="CR65" i="180"/>
  <c r="CQ65" i="180"/>
  <c r="CP65" i="180"/>
  <c r="EA65" i="180" s="1"/>
  <c r="CO65" i="180"/>
  <c r="FE65" i="180" s="1"/>
  <c r="CN65" i="180"/>
  <c r="CM65" i="180"/>
  <c r="DJ65" i="180" s="1"/>
  <c r="CL65" i="180"/>
  <c r="CK65" i="180"/>
  <c r="CJ65" i="180"/>
  <c r="CI65" i="180"/>
  <c r="CH65" i="180"/>
  <c r="CG65" i="180"/>
  <c r="CF65" i="180"/>
  <c r="CW65" i="180" s="1"/>
  <c r="CE65" i="180"/>
  <c r="CD65" i="180"/>
  <c r="DA65" i="180" s="1"/>
  <c r="CC65" i="180"/>
  <c r="CB65" i="180"/>
  <c r="GI64" i="180"/>
  <c r="GH64" i="180"/>
  <c r="BA24" i="180" s="1"/>
  <c r="GG64" i="180"/>
  <c r="AW24" i="180" s="1"/>
  <c r="GF64" i="180"/>
  <c r="GE64" i="180"/>
  <c r="AQ24" i="180" s="1"/>
  <c r="GD64" i="180"/>
  <c r="FM64" i="180"/>
  <c r="FF64" i="180"/>
  <c r="FE64" i="180"/>
  <c r="FB64" i="180"/>
  <c r="EX64" i="180"/>
  <c r="ET64" i="180"/>
  <c r="EP64" i="180"/>
  <c r="EQ64" i="180" s="1"/>
  <c r="ER64" i="180" s="1"/>
  <c r="ED64" i="180"/>
  <c r="EB64" i="180"/>
  <c r="EA64" i="180"/>
  <c r="DZ64" i="180"/>
  <c r="DJ64" i="180"/>
  <c r="DI64" i="180"/>
  <c r="DH64" i="180"/>
  <c r="DG64" i="180"/>
  <c r="DE64" i="180"/>
  <c r="CY64" i="180"/>
  <c r="CX64" i="180"/>
  <c r="CV64" i="180"/>
  <c r="DK64" i="180" s="1"/>
  <c r="CU64" i="180"/>
  <c r="CT64" i="180"/>
  <c r="CS64" i="180"/>
  <c r="CR64" i="180"/>
  <c r="CQ64" i="180"/>
  <c r="CP64" i="180"/>
  <c r="FC64" i="180" s="1"/>
  <c r="CO64" i="180"/>
  <c r="CN64" i="180"/>
  <c r="CM64" i="180"/>
  <c r="CL64" i="180"/>
  <c r="EI64" i="180" s="1"/>
  <c r="CK64" i="180"/>
  <c r="EK64" i="180" s="1"/>
  <c r="EL64" i="180" s="1"/>
  <c r="EM64" i="180" s="1"/>
  <c r="EN64" i="180" s="1"/>
  <c r="X24" i="180" s="1"/>
  <c r="CJ64" i="180"/>
  <c r="CI64" i="180"/>
  <c r="CH64" i="180"/>
  <c r="CG64" i="180"/>
  <c r="CF64" i="180"/>
  <c r="CW64" i="180" s="1"/>
  <c r="CE64" i="180"/>
  <c r="CD64" i="180"/>
  <c r="CC64" i="180"/>
  <c r="CB64" i="180"/>
  <c r="GI63" i="180"/>
  <c r="GH63" i="180"/>
  <c r="BA23" i="180" s="1"/>
  <c r="GG63" i="180"/>
  <c r="AV23" i="180" s="1"/>
  <c r="GF63" i="180"/>
  <c r="GE63" i="180"/>
  <c r="GD63" i="180"/>
  <c r="FM63" i="180"/>
  <c r="FF63" i="180"/>
  <c r="FE63" i="180"/>
  <c r="FC63" i="180"/>
  <c r="FB63" i="180"/>
  <c r="EX63" i="180"/>
  <c r="ET63" i="180"/>
  <c r="EL63" i="180"/>
  <c r="EM63" i="180" s="1"/>
  <c r="EK63" i="180"/>
  <c r="EI63" i="180"/>
  <c r="ED63" i="180"/>
  <c r="EB63" i="180"/>
  <c r="DJ63" i="180"/>
  <c r="DE63" i="180"/>
  <c r="CY63" i="180"/>
  <c r="CX63" i="180"/>
  <c r="CW63" i="180"/>
  <c r="CU63" i="180"/>
  <c r="CT63" i="180"/>
  <c r="EP63" i="180" s="1"/>
  <c r="EQ63" i="180" s="1"/>
  <c r="ER63" i="180" s="1"/>
  <c r="CS63" i="180"/>
  <c r="CR63" i="180"/>
  <c r="CQ63" i="180"/>
  <c r="CP63" i="180"/>
  <c r="EA63" i="180" s="1"/>
  <c r="CO63" i="180"/>
  <c r="CN63" i="180"/>
  <c r="CM63" i="180"/>
  <c r="DI63" i="180" s="1"/>
  <c r="CL63" i="180"/>
  <c r="EH63" i="180" s="1"/>
  <c r="EJ63" i="180" s="1"/>
  <c r="DS63" i="180" s="1"/>
  <c r="CK63" i="180"/>
  <c r="CJ63" i="180"/>
  <c r="CI63" i="180"/>
  <c r="CH63" i="180"/>
  <c r="CG63" i="180"/>
  <c r="DZ63" i="180" s="1"/>
  <c r="CF63" i="180"/>
  <c r="EO63" i="180" s="1"/>
  <c r="CE63" i="180"/>
  <c r="CD63" i="180"/>
  <c r="CC63" i="180"/>
  <c r="EE63" i="180" s="1"/>
  <c r="EG63" i="180" s="1"/>
  <c r="DL63" i="180" s="1"/>
  <c r="CB63" i="180"/>
  <c r="GI62" i="180"/>
  <c r="BE22" i="180" s="1"/>
  <c r="GH62" i="180"/>
  <c r="BA22" i="180" s="1"/>
  <c r="GG62" i="180"/>
  <c r="AW22" i="180" s="1"/>
  <c r="GF62" i="180"/>
  <c r="AS22" i="180" s="1"/>
  <c r="GE62" i="180"/>
  <c r="AQ22" i="180" s="1"/>
  <c r="GD62" i="180"/>
  <c r="FM62" i="180"/>
  <c r="FE62" i="180"/>
  <c r="FD62" i="180"/>
  <c r="EX62" i="180"/>
  <c r="ET62" i="180"/>
  <c r="EL62" i="180"/>
  <c r="EM62" i="180" s="1"/>
  <c r="EK62" i="180"/>
  <c r="EH62" i="180"/>
  <c r="EJ62" i="180" s="1"/>
  <c r="DS62" i="180" s="1"/>
  <c r="DT62" i="180" s="1"/>
  <c r="ED62" i="180"/>
  <c r="EB62" i="180"/>
  <c r="DX62" i="180"/>
  <c r="DJ62" i="180"/>
  <c r="DI62" i="180"/>
  <c r="DH62" i="180"/>
  <c r="DG62" i="180"/>
  <c r="DE62" i="180"/>
  <c r="DB62" i="180"/>
  <c r="CY62" i="180"/>
  <c r="CX62" i="180"/>
  <c r="CV62" i="180"/>
  <c r="DK62" i="180" s="1"/>
  <c r="CU62" i="180"/>
  <c r="EU62" i="180" s="1"/>
  <c r="CT62" i="180"/>
  <c r="EP62" i="180" s="1"/>
  <c r="CS62" i="180"/>
  <c r="CR62" i="180"/>
  <c r="CQ62" i="180"/>
  <c r="CP62" i="180"/>
  <c r="FC62" i="180" s="1"/>
  <c r="CO62" i="180"/>
  <c r="CN62" i="180"/>
  <c r="CM62" i="180"/>
  <c r="CL62" i="180"/>
  <c r="EI62" i="180" s="1"/>
  <c r="CK62" i="180"/>
  <c r="CJ62" i="180"/>
  <c r="CI62" i="180"/>
  <c r="CH62" i="180"/>
  <c r="CG62" i="180"/>
  <c r="FB62" i="180" s="1"/>
  <c r="CF62" i="180"/>
  <c r="EO62" i="180" s="1"/>
  <c r="CE62" i="180"/>
  <c r="CD62" i="180"/>
  <c r="CC62" i="180"/>
  <c r="EE62" i="180" s="1"/>
  <c r="EG62" i="180" s="1"/>
  <c r="DL62" i="180" s="1"/>
  <c r="CB62" i="180"/>
  <c r="GI61" i="180"/>
  <c r="BD21" i="180" s="1"/>
  <c r="FI61" i="180" s="1"/>
  <c r="GH61" i="180"/>
  <c r="GG61" i="180"/>
  <c r="AW21" i="180" s="1"/>
  <c r="GF61" i="180"/>
  <c r="GE61" i="180"/>
  <c r="AQ21" i="180" s="1"/>
  <c r="GD61" i="180"/>
  <c r="FM61" i="180"/>
  <c r="FF61" i="180"/>
  <c r="FE61" i="180"/>
  <c r="FD61" i="180"/>
  <c r="FC61" i="180"/>
  <c r="EX61" i="180"/>
  <c r="ET61" i="180"/>
  <c r="EP61" i="180"/>
  <c r="EO61" i="180"/>
  <c r="EH61" i="180"/>
  <c r="EJ61" i="180" s="1"/>
  <c r="DS61" i="180" s="1"/>
  <c r="EF61" i="180"/>
  <c r="ED61" i="180"/>
  <c r="EB61" i="180"/>
  <c r="EA61" i="180"/>
  <c r="DJ61" i="180"/>
  <c r="DI61" i="180"/>
  <c r="DH61" i="180"/>
  <c r="DG61" i="180"/>
  <c r="DE61" i="180"/>
  <c r="DD61" i="180"/>
  <c r="DB61" i="180"/>
  <c r="DA61" i="180"/>
  <c r="CY61" i="180"/>
  <c r="CX61" i="180"/>
  <c r="CW61" i="180"/>
  <c r="CV61" i="180"/>
  <c r="DK61" i="180" s="1"/>
  <c r="CU61" i="180"/>
  <c r="EU61" i="180" s="1"/>
  <c r="CT61" i="180"/>
  <c r="CS61" i="180"/>
  <c r="CR61" i="180"/>
  <c r="CQ61" i="180"/>
  <c r="CP61" i="180"/>
  <c r="CO61" i="180"/>
  <c r="CN61" i="180"/>
  <c r="CM61" i="180"/>
  <c r="CL61" i="180"/>
  <c r="EI61" i="180" s="1"/>
  <c r="CK61" i="180"/>
  <c r="EK61" i="180" s="1"/>
  <c r="CJ61" i="180"/>
  <c r="CI61" i="180"/>
  <c r="CH61" i="180"/>
  <c r="CG61" i="180"/>
  <c r="CF61" i="180"/>
  <c r="CE61" i="180"/>
  <c r="CD61" i="180"/>
  <c r="DC61" i="180" s="1"/>
  <c r="CC61" i="180"/>
  <c r="EE61" i="180" s="1"/>
  <c r="EG61" i="180" s="1"/>
  <c r="DL61" i="180" s="1"/>
  <c r="CB61" i="180"/>
  <c r="GI60" i="180"/>
  <c r="GH60" i="180"/>
  <c r="BA20" i="180" s="1"/>
  <c r="GG60" i="180"/>
  <c r="AW20" i="180" s="1"/>
  <c r="GF60" i="180"/>
  <c r="AR20" i="180" s="1"/>
  <c r="FF60" i="180" s="1"/>
  <c r="GE60" i="180"/>
  <c r="GD60" i="180"/>
  <c r="FM60" i="180"/>
  <c r="FE60" i="180"/>
  <c r="EX60" i="180"/>
  <c r="ET60" i="180"/>
  <c r="EO60" i="180"/>
  <c r="EL60" i="180"/>
  <c r="EM60" i="180" s="1"/>
  <c r="EI60" i="180"/>
  <c r="ED60" i="180"/>
  <c r="EB60" i="180"/>
  <c r="DZ60" i="180"/>
  <c r="DJ60" i="180"/>
  <c r="DE60" i="180"/>
  <c r="DD60" i="180"/>
  <c r="DC60" i="180"/>
  <c r="DA60" i="180"/>
  <c r="CY60" i="180"/>
  <c r="CX60" i="180"/>
  <c r="CU60" i="180"/>
  <c r="CT60" i="180"/>
  <c r="EP60" i="180" s="1"/>
  <c r="EQ60" i="180" s="1"/>
  <c r="ER60" i="180" s="1"/>
  <c r="CS60" i="180"/>
  <c r="CR60" i="180"/>
  <c r="CQ60" i="180"/>
  <c r="CP60" i="180"/>
  <c r="FC60" i="180" s="1"/>
  <c r="CO60" i="180"/>
  <c r="CN60" i="180"/>
  <c r="CM60" i="180"/>
  <c r="CL60" i="180"/>
  <c r="EH60" i="180" s="1"/>
  <c r="EJ60" i="180" s="1"/>
  <c r="DS60" i="180" s="1"/>
  <c r="CK60" i="180"/>
  <c r="EK60" i="180" s="1"/>
  <c r="CJ60" i="180"/>
  <c r="CI60" i="180"/>
  <c r="CH60" i="180"/>
  <c r="CG60" i="180"/>
  <c r="FB60" i="180" s="1"/>
  <c r="CF60" i="180"/>
  <c r="FD60" i="180" s="1"/>
  <c r="CE60" i="180"/>
  <c r="CD60" i="180"/>
  <c r="CV60" i="180" s="1"/>
  <c r="DK60" i="180" s="1"/>
  <c r="CC60" i="180"/>
  <c r="EF60" i="180" s="1"/>
  <c r="CB60" i="180"/>
  <c r="GI59" i="180"/>
  <c r="BE19" i="180" s="1"/>
  <c r="GH59" i="180"/>
  <c r="BA19" i="180" s="1"/>
  <c r="GG59" i="180"/>
  <c r="AV19" i="180" s="1"/>
  <c r="FG59" i="180" s="1"/>
  <c r="GF59" i="180"/>
  <c r="AS19" i="180" s="1"/>
  <c r="GE59" i="180"/>
  <c r="GD59" i="180"/>
  <c r="FM59" i="180"/>
  <c r="EX59" i="180"/>
  <c r="EQ59" i="180"/>
  <c r="ER59" i="180" s="1"/>
  <c r="EF59" i="180"/>
  <c r="ED59" i="180"/>
  <c r="EB59" i="180"/>
  <c r="EA59" i="180"/>
  <c r="DE59" i="180"/>
  <c r="DD59" i="180"/>
  <c r="DC59" i="180"/>
  <c r="DB59" i="180"/>
  <c r="DA59" i="180"/>
  <c r="CY59" i="180"/>
  <c r="CU59" i="180"/>
  <c r="CT59" i="180"/>
  <c r="EP59" i="180" s="1"/>
  <c r="CS59" i="180"/>
  <c r="CR59" i="180"/>
  <c r="CQ59" i="180"/>
  <c r="CP59" i="180"/>
  <c r="FC59" i="180" s="1"/>
  <c r="CO59" i="180"/>
  <c r="FE59" i="180" s="1"/>
  <c r="CN59" i="180"/>
  <c r="CM59" i="180"/>
  <c r="CL59" i="180"/>
  <c r="CK59" i="180"/>
  <c r="EK59" i="180" s="1"/>
  <c r="EL59" i="180" s="1"/>
  <c r="EM59" i="180" s="1"/>
  <c r="CJ59" i="180"/>
  <c r="CI59" i="180"/>
  <c r="CH59" i="180"/>
  <c r="CG59" i="180"/>
  <c r="DZ59" i="180" s="1"/>
  <c r="CF59" i="180"/>
  <c r="EO59" i="180" s="1"/>
  <c r="CE59" i="180"/>
  <c r="CD59" i="180"/>
  <c r="CC59" i="180"/>
  <c r="EE59" i="180" s="1"/>
  <c r="EG59" i="180" s="1"/>
  <c r="DL59" i="180" s="1"/>
  <c r="CB59" i="180"/>
  <c r="GI58" i="180"/>
  <c r="BE18" i="180" s="1"/>
  <c r="GH58" i="180"/>
  <c r="BA18" i="180" s="1"/>
  <c r="GG58" i="180"/>
  <c r="AW18" i="180" s="1"/>
  <c r="GF58" i="180"/>
  <c r="GE58" i="180"/>
  <c r="AQ18" i="180" s="1"/>
  <c r="GD58" i="180"/>
  <c r="FM58" i="180"/>
  <c r="FF58" i="180"/>
  <c r="FD58" i="180"/>
  <c r="FC58" i="180"/>
  <c r="EX58" i="180"/>
  <c r="ES58" i="180"/>
  <c r="Y18" i="180" s="1"/>
  <c r="EP58" i="180"/>
  <c r="EK58" i="180"/>
  <c r="EL58" i="180" s="1"/>
  <c r="EM58" i="180" s="1"/>
  <c r="EH58" i="180"/>
  <c r="EJ58" i="180" s="1"/>
  <c r="DS58" i="180" s="1"/>
  <c r="ED58" i="180"/>
  <c r="EB58" i="180"/>
  <c r="DZ58" i="180"/>
  <c r="DJ58" i="180"/>
  <c r="DH58" i="180"/>
  <c r="DE58" i="180"/>
  <c r="EW58" i="180" s="1"/>
  <c r="DD58" i="180"/>
  <c r="DC58" i="180"/>
  <c r="EV58" i="180" s="1"/>
  <c r="CY58" i="180"/>
  <c r="CW58" i="180"/>
  <c r="CU58" i="180"/>
  <c r="EQ58" i="180" s="1"/>
  <c r="ER58" i="180" s="1"/>
  <c r="CT58" i="180"/>
  <c r="CS58" i="180"/>
  <c r="CR58" i="180"/>
  <c r="CQ58" i="180"/>
  <c r="CP58" i="180"/>
  <c r="EA58" i="180" s="1"/>
  <c r="CO58" i="180"/>
  <c r="FE58" i="180" s="1"/>
  <c r="CN58" i="180"/>
  <c r="CM58" i="180"/>
  <c r="DI58" i="180" s="1"/>
  <c r="CL58" i="180"/>
  <c r="EI58" i="180" s="1"/>
  <c r="CK58" i="180"/>
  <c r="CJ58" i="180"/>
  <c r="CI58" i="180"/>
  <c r="CH58" i="180"/>
  <c r="CG58" i="180"/>
  <c r="FB58" i="180" s="1"/>
  <c r="CF58" i="180"/>
  <c r="EO58" i="180" s="1"/>
  <c r="CE58" i="180"/>
  <c r="CD58" i="180"/>
  <c r="CC58" i="180"/>
  <c r="EF58" i="180" s="1"/>
  <c r="CB58" i="180"/>
  <c r="GI57" i="180"/>
  <c r="BE17" i="180" s="1"/>
  <c r="GH57" i="180"/>
  <c r="BA17" i="180" s="1"/>
  <c r="GG57" i="180"/>
  <c r="GF57" i="180"/>
  <c r="AS17" i="180" s="1"/>
  <c r="GE57" i="180"/>
  <c r="AQ17" i="180" s="1"/>
  <c r="GD57" i="180"/>
  <c r="FM57" i="180"/>
  <c r="FD57" i="180"/>
  <c r="EX57" i="180"/>
  <c r="EK57" i="180"/>
  <c r="EL57" i="180" s="1"/>
  <c r="EM57" i="180" s="1"/>
  <c r="ED57" i="180"/>
  <c r="EB57" i="180"/>
  <c r="DZ57" i="180"/>
  <c r="DJ57" i="180"/>
  <c r="DI57" i="180"/>
  <c r="DG57" i="180"/>
  <c r="DE57" i="180"/>
  <c r="DD57" i="180"/>
  <c r="DC57" i="180"/>
  <c r="EV57" i="180" s="1"/>
  <c r="DA57" i="180"/>
  <c r="CY57" i="180"/>
  <c r="CV57" i="180"/>
  <c r="DK57" i="180" s="1"/>
  <c r="CU57" i="180"/>
  <c r="CT57" i="180"/>
  <c r="EP57" i="180" s="1"/>
  <c r="CS57" i="180"/>
  <c r="CR57" i="180"/>
  <c r="CQ57" i="180"/>
  <c r="CP57" i="180"/>
  <c r="EA57" i="180" s="1"/>
  <c r="CO57" i="180"/>
  <c r="FE57" i="180" s="1"/>
  <c r="CN57" i="180"/>
  <c r="CM57" i="180"/>
  <c r="DH57" i="180" s="1"/>
  <c r="CL57" i="180"/>
  <c r="EI57" i="180" s="1"/>
  <c r="CK57" i="180"/>
  <c r="CJ57" i="180"/>
  <c r="CI57" i="180"/>
  <c r="CH57" i="180"/>
  <c r="CG57" i="180"/>
  <c r="FB57" i="180" s="1"/>
  <c r="CF57" i="180"/>
  <c r="EO57" i="180" s="1"/>
  <c r="CE57" i="180"/>
  <c r="CD57" i="180"/>
  <c r="DB57" i="180" s="1"/>
  <c r="CC57" i="180"/>
  <c r="EE57" i="180" s="1"/>
  <c r="EG57" i="180" s="1"/>
  <c r="DL57" i="180" s="1"/>
  <c r="CB57" i="180"/>
  <c r="FL54" i="180" s="1"/>
  <c r="GI56" i="180"/>
  <c r="BE16" i="180" s="1"/>
  <c r="GH56" i="180"/>
  <c r="BA16" i="180" s="1"/>
  <c r="GG56" i="180"/>
  <c r="GF56" i="180"/>
  <c r="AR16" i="180" s="1"/>
  <c r="FF56" i="180" s="1"/>
  <c r="GE56" i="180"/>
  <c r="GD56" i="180"/>
  <c r="FM56" i="180"/>
  <c r="FK56" i="180"/>
  <c r="FK57" i="180" s="1"/>
  <c r="FE56" i="180"/>
  <c r="FB56" i="180"/>
  <c r="EX56" i="180"/>
  <c r="EJ56" i="180"/>
  <c r="DS56" i="180" s="1"/>
  <c r="EH56" i="180"/>
  <c r="ED56" i="180"/>
  <c r="EB56" i="180"/>
  <c r="DZ56" i="180"/>
  <c r="DJ56" i="180"/>
  <c r="DH56" i="180"/>
  <c r="DG56" i="180"/>
  <c r="DE56" i="180"/>
  <c r="DD56" i="180"/>
  <c r="DC56" i="180"/>
  <c r="DB56" i="180"/>
  <c r="DA56" i="180"/>
  <c r="CY56" i="180"/>
  <c r="CX56" i="180"/>
  <c r="CV56" i="180"/>
  <c r="DK56" i="180" s="1"/>
  <c r="CU56" i="180"/>
  <c r="CT56" i="180"/>
  <c r="EP56" i="180" s="1"/>
  <c r="EQ56" i="180" s="1"/>
  <c r="ER56" i="180" s="1"/>
  <c r="CS56" i="180"/>
  <c r="EW56" i="180" s="1"/>
  <c r="CR56" i="180"/>
  <c r="CQ56" i="180"/>
  <c r="CP56" i="180"/>
  <c r="EA56" i="180" s="1"/>
  <c r="CO56" i="180"/>
  <c r="ET56" i="180" s="1"/>
  <c r="CN56" i="180"/>
  <c r="CM56" i="180"/>
  <c r="DI56" i="180" s="1"/>
  <c r="CL56" i="180"/>
  <c r="EI56" i="180" s="1"/>
  <c r="CK56" i="180"/>
  <c r="EK56" i="180" s="1"/>
  <c r="EL56" i="180" s="1"/>
  <c r="EM56" i="180" s="1"/>
  <c r="CJ56" i="180"/>
  <c r="CI56" i="180"/>
  <c r="CH56" i="180"/>
  <c r="CG56" i="180"/>
  <c r="CF56" i="180"/>
  <c r="CW56" i="180" s="1"/>
  <c r="CE56" i="180"/>
  <c r="CD56" i="180"/>
  <c r="CC56" i="180"/>
  <c r="EF56" i="180" s="1"/>
  <c r="CB56" i="180"/>
  <c r="GI55" i="180"/>
  <c r="BE15" i="180" s="1"/>
  <c r="GH55" i="180"/>
  <c r="BA15" i="180" s="1"/>
  <c r="GG55" i="180"/>
  <c r="AW15" i="180" s="1"/>
  <c r="GF55" i="180"/>
  <c r="GE55" i="180"/>
  <c r="GD55" i="180"/>
  <c r="FS55" i="180"/>
  <c r="FN55" i="180" s="1"/>
  <c r="FW55" i="180" s="1"/>
  <c r="FV55" i="180" s="1"/>
  <c r="FM55" i="180"/>
  <c r="FJ55" i="180"/>
  <c r="FD55" i="180"/>
  <c r="FC55" i="180"/>
  <c r="EX55" i="180"/>
  <c r="EW55" i="180"/>
  <c r="EJ55" i="180"/>
  <c r="EI55" i="180"/>
  <c r="ED55" i="180"/>
  <c r="EB55" i="180"/>
  <c r="EA55" i="180"/>
  <c r="DZ55" i="180"/>
  <c r="DJ55" i="180"/>
  <c r="DI55" i="180"/>
  <c r="DH55" i="180"/>
  <c r="DG55" i="180"/>
  <c r="DE55" i="180"/>
  <c r="CY55" i="180"/>
  <c r="CU55" i="180"/>
  <c r="CT55" i="180"/>
  <c r="EP55" i="180" s="1"/>
  <c r="CS55" i="180"/>
  <c r="CR55" i="180"/>
  <c r="CQ55" i="180"/>
  <c r="CP55" i="180"/>
  <c r="CO55" i="180"/>
  <c r="FE55" i="180" s="1"/>
  <c r="CN55" i="180"/>
  <c r="CM55" i="180"/>
  <c r="CL55" i="180"/>
  <c r="EH55" i="180" s="1"/>
  <c r="CK55" i="180"/>
  <c r="EK55" i="180" s="1"/>
  <c r="CJ55" i="180"/>
  <c r="CI55" i="180"/>
  <c r="CH55" i="180"/>
  <c r="CG55" i="180"/>
  <c r="FB55" i="180" s="1"/>
  <c r="CF55" i="180"/>
  <c r="EO55" i="180" s="1"/>
  <c r="CE55" i="180"/>
  <c r="CD55" i="180"/>
  <c r="DB55" i="180" s="1"/>
  <c r="CC55" i="180"/>
  <c r="EE55" i="180" s="1"/>
  <c r="EG55" i="180" s="1"/>
  <c r="DL55" i="180" s="1"/>
  <c r="CB55" i="180"/>
  <c r="GI54" i="180"/>
  <c r="BD14" i="180" s="1"/>
  <c r="FI54" i="180" s="1"/>
  <c r="GH54" i="180"/>
  <c r="BA14" i="180" s="1"/>
  <c r="GG54" i="180"/>
  <c r="AW14" i="180" s="1"/>
  <c r="GF54" i="180"/>
  <c r="AS14" i="180" s="1"/>
  <c r="GE54" i="180"/>
  <c r="AQ14" i="180" s="1"/>
  <c r="GD54" i="180"/>
  <c r="GB54" i="180"/>
  <c r="GA54" i="180"/>
  <c r="FY54" i="180"/>
  <c r="FZ54" i="180" s="1"/>
  <c r="FX54" i="180"/>
  <c r="FW54" i="180"/>
  <c r="FV54" i="180" s="1"/>
  <c r="FU54" i="180"/>
  <c r="FT54" i="180"/>
  <c r="FS54" i="180"/>
  <c r="FR54" i="180"/>
  <c r="FQ54" i="180"/>
  <c r="FP54" i="180"/>
  <c r="FO54" i="180"/>
  <c r="FN54" i="180"/>
  <c r="FM54" i="180"/>
  <c r="FK54" i="180"/>
  <c r="FK55" i="180" s="1"/>
  <c r="FE54" i="180"/>
  <c r="FD54" i="180"/>
  <c r="FC54" i="180"/>
  <c r="EX54" i="180"/>
  <c r="EO54" i="180"/>
  <c r="EK54" i="180"/>
  <c r="EL54" i="180" s="1"/>
  <c r="EM54" i="180" s="1"/>
  <c r="ED54" i="180"/>
  <c r="EB54" i="180"/>
  <c r="EA54" i="180"/>
  <c r="DJ54" i="180"/>
  <c r="DI54" i="180"/>
  <c r="DH54" i="180"/>
  <c r="DG54" i="180"/>
  <c r="DE54" i="180"/>
  <c r="DD54" i="180"/>
  <c r="DA54" i="180"/>
  <c r="CY54" i="180"/>
  <c r="CX54" i="180"/>
  <c r="CW54" i="180"/>
  <c r="CU54" i="180"/>
  <c r="CT54" i="180"/>
  <c r="EP54" i="180" s="1"/>
  <c r="CS54" i="180"/>
  <c r="EW54" i="180" s="1"/>
  <c r="CR54" i="180"/>
  <c r="CQ54" i="180"/>
  <c r="CP54" i="180"/>
  <c r="CO54" i="180"/>
  <c r="ET54" i="180" s="1"/>
  <c r="CN54" i="180"/>
  <c r="CM54" i="180"/>
  <c r="CL54" i="180"/>
  <c r="EI54" i="180" s="1"/>
  <c r="CK54" i="180"/>
  <c r="CJ54" i="180"/>
  <c r="CI54" i="180"/>
  <c r="CH54" i="180"/>
  <c r="CG54" i="180"/>
  <c r="FB54" i="180" s="1"/>
  <c r="CF54" i="180"/>
  <c r="CE54" i="180"/>
  <c r="CD54" i="180"/>
  <c r="DC54" i="180" s="1"/>
  <c r="CC54" i="180"/>
  <c r="EF54" i="180" s="1"/>
  <c r="CB54" i="180"/>
  <c r="IU48" i="180"/>
  <c r="HP48" i="180" s="1"/>
  <c r="IK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D48" i="180"/>
  <c r="GC48" i="180"/>
  <c r="GB48" i="180"/>
  <c r="GA48" i="180"/>
  <c r="EZ45" i="180"/>
  <c r="EU45" i="180"/>
  <c r="ET45" i="180"/>
  <c r="EQ45" i="180" s="1"/>
  <c r="ES45" i="180"/>
  <c r="ER45" i="180"/>
  <c r="EO45" i="180"/>
  <c r="EM45" i="180"/>
  <c r="BQ45" i="180"/>
  <c r="BO45" i="180"/>
  <c r="BM45" i="180"/>
  <c r="BG45" i="180"/>
  <c r="BF45" i="180"/>
  <c r="BC45" i="180"/>
  <c r="BB45" i="180"/>
  <c r="BA45" i="180"/>
  <c r="AZ45" i="180"/>
  <c r="FH85" i="180" s="1"/>
  <c r="AY45" i="180"/>
  <c r="AX45" i="180"/>
  <c r="AU45" i="180"/>
  <c r="AT45" i="180"/>
  <c r="AS45" i="180"/>
  <c r="AR45" i="180"/>
  <c r="FF85" i="180" s="1"/>
  <c r="AO45" i="180"/>
  <c r="AN45" i="180"/>
  <c r="AM45" i="180"/>
  <c r="AL45" i="180"/>
  <c r="AK45" i="180"/>
  <c r="AC45" i="180"/>
  <c r="AB45" i="180"/>
  <c r="AA45" i="180"/>
  <c r="V45" i="180"/>
  <c r="U45" i="180"/>
  <c r="BV45" i="180" s="1"/>
  <c r="P45" i="180"/>
  <c r="N45" i="180"/>
  <c r="M45" i="180"/>
  <c r="H45" i="180"/>
  <c r="F45" i="180"/>
  <c r="E45" i="180"/>
  <c r="D45" i="180"/>
  <c r="GK45" i="180" s="1"/>
  <c r="BN45" i="180"/>
  <c r="A45" i="180"/>
  <c r="GF45" i="180" s="1"/>
  <c r="EZ44" i="180"/>
  <c r="EY44" i="180"/>
  <c r="EU44" i="180"/>
  <c r="ET44" i="180"/>
  <c r="EQ44" i="180" s="1"/>
  <c r="ES44" i="180"/>
  <c r="ER44" i="180"/>
  <c r="EM44" i="180"/>
  <c r="BU44" i="180"/>
  <c r="BO44" i="180"/>
  <c r="BG44" i="180"/>
  <c r="BF44" i="180"/>
  <c r="BC44" i="180"/>
  <c r="BB44" i="180"/>
  <c r="AY44" i="180"/>
  <c r="AX44" i="180"/>
  <c r="AW44" i="180"/>
  <c r="AV44" i="180"/>
  <c r="FG84" i="180" s="1"/>
  <c r="AU44" i="180"/>
  <c r="AT44" i="180"/>
  <c r="AS44" i="180"/>
  <c r="AQ44" i="180"/>
  <c r="AO44" i="180"/>
  <c r="AN44" i="180"/>
  <c r="AM44" i="180"/>
  <c r="AL44" i="180"/>
  <c r="AK44" i="180"/>
  <c r="AC44" i="180"/>
  <c r="AB44" i="180"/>
  <c r="AA44" i="180"/>
  <c r="R44" i="180"/>
  <c r="Q44" i="180"/>
  <c r="P44" i="180"/>
  <c r="O44" i="180"/>
  <c r="M44" i="180"/>
  <c r="L44" i="180"/>
  <c r="K44" i="180"/>
  <c r="J44" i="180"/>
  <c r="F44" i="180"/>
  <c r="BN44" i="180"/>
  <c r="A44" i="180"/>
  <c r="BJ44" i="180" s="1"/>
  <c r="EU43" i="180"/>
  <c r="ET43" i="180"/>
  <c r="EQ43" i="180" s="1"/>
  <c r="ES43" i="180"/>
  <c r="ER43" i="180"/>
  <c r="EM43" i="180"/>
  <c r="BP43" i="180"/>
  <c r="BO43" i="180"/>
  <c r="BG43" i="180"/>
  <c r="BF43" i="180"/>
  <c r="BC43" i="180"/>
  <c r="BB43" i="180"/>
  <c r="AZ43" i="180"/>
  <c r="FH83" i="180" s="1"/>
  <c r="AY43" i="180"/>
  <c r="AX43" i="180"/>
  <c r="AV43" i="180"/>
  <c r="FG83" i="180" s="1"/>
  <c r="AU43" i="180"/>
  <c r="AT43" i="180"/>
  <c r="AS43" i="180"/>
  <c r="AR43" i="180"/>
  <c r="FF83" i="180" s="1"/>
  <c r="AP43" i="180"/>
  <c r="AO43" i="180"/>
  <c r="AN43" i="180"/>
  <c r="AM43" i="180"/>
  <c r="AL43" i="180"/>
  <c r="AK43" i="180"/>
  <c r="AC43" i="180"/>
  <c r="AB43" i="180"/>
  <c r="AA43" i="180"/>
  <c r="R43" i="180"/>
  <c r="Q43" i="180"/>
  <c r="L43" i="180"/>
  <c r="BU43" i="180" s="1"/>
  <c r="K43" i="180"/>
  <c r="J43" i="180"/>
  <c r="F43" i="180"/>
  <c r="E43" i="180"/>
  <c r="D43" i="180"/>
  <c r="GK43" i="180" s="1"/>
  <c r="BQ43" i="180"/>
  <c r="A43" i="180"/>
  <c r="GF43" i="180" s="1"/>
  <c r="GF42" i="180"/>
  <c r="GB42" i="180" s="1"/>
  <c r="GC42" i="180"/>
  <c r="EY42" i="180"/>
  <c r="EU42" i="180"/>
  <c r="ET42" i="180"/>
  <c r="EQ42" i="180" s="1"/>
  <c r="ES42" i="180"/>
  <c r="ER42" i="180"/>
  <c r="EM42" i="180"/>
  <c r="BU42" i="180"/>
  <c r="BQ42" i="180"/>
  <c r="BO42" i="180"/>
  <c r="BG42" i="180"/>
  <c r="BF42" i="180"/>
  <c r="BE42" i="180"/>
  <c r="BC42" i="180"/>
  <c r="BB42" i="180"/>
  <c r="AZ42" i="180"/>
  <c r="FH82" i="180" s="1"/>
  <c r="AY42" i="180"/>
  <c r="AX42" i="180"/>
  <c r="AW42" i="180"/>
  <c r="AV42" i="180"/>
  <c r="FG82" i="180" s="1"/>
  <c r="AU42" i="180"/>
  <c r="AT42" i="180"/>
  <c r="AS42" i="180"/>
  <c r="AR42" i="180"/>
  <c r="FF82" i="180" s="1"/>
  <c r="AP42" i="180"/>
  <c r="AO42" i="180"/>
  <c r="AN42" i="180"/>
  <c r="AM42" i="180"/>
  <c r="AL42" i="180"/>
  <c r="AK42" i="180"/>
  <c r="AC42" i="180"/>
  <c r="AB42" i="180"/>
  <c r="AA42" i="180"/>
  <c r="BJ42" i="180"/>
  <c r="R42" i="180"/>
  <c r="Q42" i="180"/>
  <c r="M42" i="180"/>
  <c r="L42" i="180"/>
  <c r="K42" i="180"/>
  <c r="J42" i="180"/>
  <c r="F42" i="180"/>
  <c r="BP42" i="180"/>
  <c r="B48" i="180"/>
  <c r="A42" i="180"/>
  <c r="GK41" i="180"/>
  <c r="GF41" i="180"/>
  <c r="GE41" i="180" s="1"/>
  <c r="GD41" i="180"/>
  <c r="GC41" i="180"/>
  <c r="EU41" i="180"/>
  <c r="ET41" i="180"/>
  <c r="EQ41" i="180" s="1"/>
  <c r="ES41" i="180"/>
  <c r="ER41" i="180"/>
  <c r="EM41" i="180"/>
  <c r="BJ41" i="180"/>
  <c r="BG41" i="180"/>
  <c r="BF41" i="180"/>
  <c r="BE41" i="180"/>
  <c r="BD41" i="180"/>
  <c r="FI81" i="180" s="1"/>
  <c r="BC41" i="180"/>
  <c r="BB41" i="180"/>
  <c r="BA41" i="180"/>
  <c r="AY41" i="180"/>
  <c r="AX41" i="180"/>
  <c r="AW41" i="180"/>
  <c r="AV41" i="180"/>
  <c r="FG81" i="180" s="1"/>
  <c r="AU41" i="180"/>
  <c r="AT41" i="180"/>
  <c r="AS41" i="180"/>
  <c r="AQ41" i="180"/>
  <c r="AP41" i="180"/>
  <c r="AO41" i="180"/>
  <c r="AN41" i="180"/>
  <c r="AM41" i="180"/>
  <c r="AL41" i="180"/>
  <c r="AK41" i="180"/>
  <c r="AC41" i="180"/>
  <c r="AB41" i="180"/>
  <c r="AA41" i="180"/>
  <c r="P41" i="180"/>
  <c r="O41" i="180"/>
  <c r="N41" i="180"/>
  <c r="L41" i="180"/>
  <c r="BU41" i="180" s="1"/>
  <c r="K41" i="180"/>
  <c r="J41" i="180"/>
  <c r="F41" i="180"/>
  <c r="E41" i="180"/>
  <c r="D41" i="180"/>
  <c r="BQ41" i="180"/>
  <c r="A41" i="180"/>
  <c r="GF40" i="180"/>
  <c r="GD40" i="180" s="1"/>
  <c r="GE40" i="180"/>
  <c r="GC40" i="180"/>
  <c r="EU40" i="180"/>
  <c r="ET40" i="180"/>
  <c r="ES40" i="180"/>
  <c r="ER40" i="180"/>
  <c r="EM40" i="180"/>
  <c r="BQ40" i="180"/>
  <c r="BN40" i="180"/>
  <c r="BM40" i="180"/>
  <c r="BJ40" i="180"/>
  <c r="BG40" i="180"/>
  <c r="BF40" i="180"/>
  <c r="BC40" i="180"/>
  <c r="BB40" i="180"/>
  <c r="AY40" i="180"/>
  <c r="AX40" i="180"/>
  <c r="AV40" i="180"/>
  <c r="FG80" i="180" s="1"/>
  <c r="AU40" i="180"/>
  <c r="AT40" i="180"/>
  <c r="AR40" i="180"/>
  <c r="FF80" i="180" s="1"/>
  <c r="AP40" i="180"/>
  <c r="AO40" i="180"/>
  <c r="AN40" i="180"/>
  <c r="AM40" i="180"/>
  <c r="AL40" i="180"/>
  <c r="AK40" i="180"/>
  <c r="AC40" i="180"/>
  <c r="AB40" i="180"/>
  <c r="AA40" i="180"/>
  <c r="R40" i="180"/>
  <c r="Q40" i="180"/>
  <c r="P40" i="180"/>
  <c r="O40" i="180"/>
  <c r="N40" i="180"/>
  <c r="M40" i="180"/>
  <c r="L40" i="180"/>
  <c r="BU40" i="180" s="1"/>
  <c r="K40" i="180"/>
  <c r="J40" i="180"/>
  <c r="I40" i="180"/>
  <c r="BS40" i="180" s="1"/>
  <c r="H40" i="180"/>
  <c r="F40" i="180"/>
  <c r="BP40" i="180"/>
  <c r="A40" i="180"/>
  <c r="GF39" i="180"/>
  <c r="GE39" i="180" s="1"/>
  <c r="EZ39" i="180"/>
  <c r="EU39" i="180"/>
  <c r="ET39" i="180"/>
  <c r="EQ39" i="180" s="1"/>
  <c r="ES39" i="180"/>
  <c r="ER39" i="180"/>
  <c r="EM39" i="180"/>
  <c r="BP39" i="180"/>
  <c r="BO39" i="180"/>
  <c r="BM39" i="180"/>
  <c r="BG39" i="180"/>
  <c r="BF39" i="180"/>
  <c r="BC39" i="180"/>
  <c r="BB39" i="180"/>
  <c r="AY39" i="180"/>
  <c r="AX39" i="180"/>
  <c r="AW39" i="180"/>
  <c r="AV39" i="180"/>
  <c r="FG79" i="180" s="1"/>
  <c r="AU39" i="180"/>
  <c r="AT39" i="180"/>
  <c r="AR39" i="180"/>
  <c r="FF79" i="180" s="1"/>
  <c r="AQ39" i="180"/>
  <c r="AO39" i="180"/>
  <c r="AN39" i="180"/>
  <c r="AM39" i="180"/>
  <c r="AL39" i="180"/>
  <c r="AK39" i="180"/>
  <c r="AC39" i="180"/>
  <c r="AB39" i="180"/>
  <c r="AA39" i="180"/>
  <c r="P39" i="180"/>
  <c r="O39" i="180"/>
  <c r="L39" i="180"/>
  <c r="BU39" i="180" s="1"/>
  <c r="K39" i="180"/>
  <c r="J39" i="180"/>
  <c r="I39" i="180"/>
  <c r="BS39" i="180" s="1"/>
  <c r="F39" i="180"/>
  <c r="E39" i="180"/>
  <c r="D39" i="180"/>
  <c r="GK39" i="180" s="1"/>
  <c r="BQ39" i="180"/>
  <c r="A39" i="180"/>
  <c r="BJ39" i="180" s="1"/>
  <c r="EZ38" i="180"/>
  <c r="EY38" i="180"/>
  <c r="EU38" i="180"/>
  <c r="ET38" i="180"/>
  <c r="ES38" i="180"/>
  <c r="ER38" i="180"/>
  <c r="EM38" i="180"/>
  <c r="BU38" i="180"/>
  <c r="BP38" i="180"/>
  <c r="BO38" i="180"/>
  <c r="BM38" i="180"/>
  <c r="BG38" i="180"/>
  <c r="BF38" i="180"/>
  <c r="BC38" i="180"/>
  <c r="BB38" i="180"/>
  <c r="BA38" i="180"/>
  <c r="AZ38" i="180"/>
  <c r="FH78" i="180" s="1"/>
  <c r="AY38" i="180"/>
  <c r="AX38" i="180"/>
  <c r="AU38" i="180"/>
  <c r="AT38" i="180"/>
  <c r="AO38" i="180"/>
  <c r="AN38" i="180"/>
  <c r="AM38" i="180"/>
  <c r="AL38" i="180"/>
  <c r="AK38" i="180"/>
  <c r="AC38" i="180"/>
  <c r="AB38" i="180"/>
  <c r="FQ38" i="180" s="1"/>
  <c r="AA38" i="180"/>
  <c r="R38" i="180"/>
  <c r="Q38" i="180"/>
  <c r="P38" i="180"/>
  <c r="O38" i="180"/>
  <c r="N38" i="180"/>
  <c r="L38" i="180"/>
  <c r="K38" i="180"/>
  <c r="J38" i="180"/>
  <c r="F38" i="180"/>
  <c r="BQ38" i="180"/>
  <c r="A38" i="180"/>
  <c r="GF38" i="180" s="1"/>
  <c r="GF37" i="180"/>
  <c r="GE37" i="180" s="1"/>
  <c r="GD37" i="180"/>
  <c r="GC37" i="180"/>
  <c r="GA37" i="180"/>
  <c r="EZ37" i="180"/>
  <c r="EY37" i="180"/>
  <c r="EU37" i="180"/>
  <c r="ET37" i="180"/>
  <c r="EQ37" i="180" s="1"/>
  <c r="ES37" i="180"/>
  <c r="ER37" i="180"/>
  <c r="EM37" i="180"/>
  <c r="BU37" i="180"/>
  <c r="BQ37" i="180"/>
  <c r="BN37" i="180"/>
  <c r="BG37" i="180"/>
  <c r="BF37" i="180"/>
  <c r="BC37" i="180"/>
  <c r="BB37" i="180"/>
  <c r="AZ37" i="180"/>
  <c r="FH77" i="180" s="1"/>
  <c r="AY37" i="180"/>
  <c r="AX37" i="180"/>
  <c r="AU37" i="180"/>
  <c r="AT37" i="180"/>
  <c r="AQ37" i="180"/>
  <c r="AO37" i="180"/>
  <c r="AN37" i="180"/>
  <c r="AM37" i="180"/>
  <c r="AL37" i="180"/>
  <c r="AK37" i="180"/>
  <c r="AC37" i="180"/>
  <c r="AB37" i="180"/>
  <c r="AA37" i="180"/>
  <c r="R37" i="180"/>
  <c r="Q37" i="180"/>
  <c r="P37" i="180"/>
  <c r="O37" i="180"/>
  <c r="N37" i="180"/>
  <c r="L37" i="180"/>
  <c r="K37" i="180"/>
  <c r="J37" i="180"/>
  <c r="F37" i="180"/>
  <c r="BM37" i="180"/>
  <c r="A37" i="180"/>
  <c r="BJ37" i="180" s="1"/>
  <c r="GK36" i="180"/>
  <c r="EY36" i="180"/>
  <c r="EU36" i="180"/>
  <c r="ET36" i="180"/>
  <c r="EQ36" i="180" s="1"/>
  <c r="ES36" i="180"/>
  <c r="ER36" i="180"/>
  <c r="EM36" i="180"/>
  <c r="BU36" i="180"/>
  <c r="BQ36" i="180"/>
  <c r="BO36" i="180"/>
  <c r="BN36" i="180"/>
  <c r="BJ36" i="180"/>
  <c r="BG36" i="180"/>
  <c r="BF36" i="180"/>
  <c r="BE36" i="180"/>
  <c r="BC36" i="180"/>
  <c r="BB36" i="180"/>
  <c r="BA36" i="180"/>
  <c r="AZ36" i="180"/>
  <c r="FH76" i="180" s="1"/>
  <c r="AY36" i="180"/>
  <c r="AX36" i="180"/>
  <c r="AU36" i="180"/>
  <c r="AT36" i="180"/>
  <c r="AQ36" i="180"/>
  <c r="AP36" i="180"/>
  <c r="AO36" i="180"/>
  <c r="AN36" i="180"/>
  <c r="AM36" i="180"/>
  <c r="AL36" i="180"/>
  <c r="AK36" i="180"/>
  <c r="AC36" i="180"/>
  <c r="AB36" i="180"/>
  <c r="EZ36" i="180" s="1"/>
  <c r="AA36" i="180"/>
  <c r="R36" i="180"/>
  <c r="Q36" i="180"/>
  <c r="P36" i="180"/>
  <c r="O36" i="180"/>
  <c r="N36" i="180"/>
  <c r="L36" i="180"/>
  <c r="K36" i="180"/>
  <c r="J36" i="180"/>
  <c r="I36" i="180"/>
  <c r="BS36" i="180" s="1"/>
  <c r="H36" i="180"/>
  <c r="G36" i="180"/>
  <c r="F36" i="180"/>
  <c r="E36" i="180"/>
  <c r="D36" i="180"/>
  <c r="BP36" i="180"/>
  <c r="A36" i="180"/>
  <c r="GF36" i="180" s="1"/>
  <c r="EU35" i="180"/>
  <c r="ET35" i="180"/>
  <c r="ES35" i="180"/>
  <c r="ER35" i="180"/>
  <c r="EM35" i="180"/>
  <c r="BQ35" i="180"/>
  <c r="BP35" i="180"/>
  <c r="BO35" i="180"/>
  <c r="BN35" i="180"/>
  <c r="BG35" i="180"/>
  <c r="BF35" i="180"/>
  <c r="BC35" i="180"/>
  <c r="BB35" i="180"/>
  <c r="BA35" i="180"/>
  <c r="AZ35" i="180"/>
  <c r="FH75" i="180" s="1"/>
  <c r="AY35" i="180"/>
  <c r="AX35" i="180"/>
  <c r="AU35" i="180"/>
  <c r="AT35" i="180"/>
  <c r="AO35" i="180"/>
  <c r="AN35" i="180"/>
  <c r="AM35" i="180"/>
  <c r="AL35" i="180"/>
  <c r="AK35" i="180"/>
  <c r="AC35" i="180"/>
  <c r="AB35" i="180"/>
  <c r="EZ35" i="180" s="1"/>
  <c r="AA35" i="180"/>
  <c r="R35" i="180"/>
  <c r="Q35" i="180"/>
  <c r="O35" i="180"/>
  <c r="N35" i="180"/>
  <c r="M35" i="180"/>
  <c r="L35" i="180"/>
  <c r="BU35" i="180" s="1"/>
  <c r="K35" i="180"/>
  <c r="J35" i="180"/>
  <c r="F35" i="180"/>
  <c r="E35" i="180"/>
  <c r="D35" i="180"/>
  <c r="GK35" i="180" s="1"/>
  <c r="BM35" i="180"/>
  <c r="A35" i="180"/>
  <c r="EU34" i="180"/>
  <c r="ET34" i="180"/>
  <c r="ES34" i="180"/>
  <c r="ER34" i="180"/>
  <c r="EM34" i="180"/>
  <c r="BQ34" i="180"/>
  <c r="BP34" i="180"/>
  <c r="BO34" i="180"/>
  <c r="BM34" i="180"/>
  <c r="BG34" i="180"/>
  <c r="BF34" i="180"/>
  <c r="BC34" i="180"/>
  <c r="BB34" i="180"/>
  <c r="BA34" i="180"/>
  <c r="AZ34" i="180"/>
  <c r="FH74" i="180" s="1"/>
  <c r="AY34" i="180"/>
  <c r="AX34" i="180"/>
  <c r="AW34" i="180"/>
  <c r="AU34" i="180"/>
  <c r="AT34" i="180"/>
  <c r="AS34" i="180"/>
  <c r="AR34" i="180"/>
  <c r="FF74" i="180" s="1"/>
  <c r="AO34" i="180"/>
  <c r="AN34" i="180"/>
  <c r="AM34" i="180"/>
  <c r="AL34" i="180"/>
  <c r="AK34" i="180"/>
  <c r="AC34" i="180"/>
  <c r="AB34" i="180"/>
  <c r="EZ34" i="180" s="1"/>
  <c r="AA34" i="180"/>
  <c r="R34" i="180"/>
  <c r="Q34" i="180"/>
  <c r="P34" i="180"/>
  <c r="O34" i="180"/>
  <c r="N34" i="180"/>
  <c r="L34" i="180"/>
  <c r="BU34" i="180" s="1"/>
  <c r="K34" i="180"/>
  <c r="J34" i="180"/>
  <c r="I34" i="180"/>
  <c r="BS34" i="180" s="1"/>
  <c r="H34" i="180"/>
  <c r="G34" i="180"/>
  <c r="F34" i="180"/>
  <c r="BN34" i="180"/>
  <c r="A34" i="180"/>
  <c r="GF34" i="180" s="1"/>
  <c r="EZ33" i="180"/>
  <c r="EY33" i="180"/>
  <c r="EU33" i="180"/>
  <c r="ET33" i="180"/>
  <c r="EQ33" i="180" s="1"/>
  <c r="ES33" i="180"/>
  <c r="ER33" i="180"/>
  <c r="EM33" i="180"/>
  <c r="BG33" i="180"/>
  <c r="BF33" i="180"/>
  <c r="BC33" i="180"/>
  <c r="BB33" i="180"/>
  <c r="BA33" i="180"/>
  <c r="AY33" i="180"/>
  <c r="AX33" i="180"/>
  <c r="AW33" i="180"/>
  <c r="AU33" i="180"/>
  <c r="AT33" i="180"/>
  <c r="AR33" i="180"/>
  <c r="FF73" i="180" s="1"/>
  <c r="AO33" i="180"/>
  <c r="AN33" i="180"/>
  <c r="AM33" i="180"/>
  <c r="AL33" i="180"/>
  <c r="AK33" i="180"/>
  <c r="AC33" i="180"/>
  <c r="AB33" i="180"/>
  <c r="AA33" i="180"/>
  <c r="R33" i="180"/>
  <c r="Q33" i="180"/>
  <c r="P33" i="180"/>
  <c r="O33" i="180"/>
  <c r="I33" i="180"/>
  <c r="BS33" i="180" s="1"/>
  <c r="F33" i="180"/>
  <c r="A33" i="180"/>
  <c r="EU32" i="180"/>
  <c r="EQ32" i="180" s="1"/>
  <c r="ET32" i="180"/>
  <c r="ES32" i="180"/>
  <c r="ER32" i="180"/>
  <c r="EM32" i="180"/>
  <c r="BO32" i="180"/>
  <c r="BN32" i="180"/>
  <c r="BJ32" i="180"/>
  <c r="BG32" i="180"/>
  <c r="BF32" i="180"/>
  <c r="BE32" i="180"/>
  <c r="BC32" i="180"/>
  <c r="BB32" i="180"/>
  <c r="BA32" i="180"/>
  <c r="AZ32" i="180"/>
  <c r="FH72" i="180" s="1"/>
  <c r="AY32" i="180"/>
  <c r="AX32" i="180"/>
  <c r="AW32" i="180"/>
  <c r="AU32" i="180"/>
  <c r="AT32" i="180"/>
  <c r="AR32" i="180"/>
  <c r="FF72" i="180" s="1"/>
  <c r="AO32" i="180"/>
  <c r="AN32" i="180"/>
  <c r="AM32" i="180"/>
  <c r="AL32" i="180"/>
  <c r="AK32" i="180"/>
  <c r="AC32" i="180"/>
  <c r="AB32" i="180"/>
  <c r="AA32" i="180"/>
  <c r="R32" i="180"/>
  <c r="Q32" i="180"/>
  <c r="P32" i="180"/>
  <c r="O32" i="180"/>
  <c r="L32" i="180"/>
  <c r="BU32" i="180" s="1"/>
  <c r="K32" i="180"/>
  <c r="J32" i="180"/>
  <c r="I32" i="180"/>
  <c r="BS32" i="180" s="1"/>
  <c r="F32" i="180"/>
  <c r="BQ32" i="180"/>
  <c r="A32" i="180"/>
  <c r="GF32" i="180" s="1"/>
  <c r="GF31" i="180"/>
  <c r="EU31" i="180"/>
  <c r="ET31" i="180"/>
  <c r="EQ31" i="180" s="1"/>
  <c r="ES31" i="180"/>
  <c r="ER31" i="180"/>
  <c r="EM31" i="180"/>
  <c r="BJ31" i="180"/>
  <c r="BG31" i="180"/>
  <c r="BF31" i="180"/>
  <c r="BC31" i="180"/>
  <c r="BB31" i="180"/>
  <c r="AY31" i="180"/>
  <c r="AX31" i="180"/>
  <c r="AU31" i="180"/>
  <c r="AT31" i="180"/>
  <c r="AP31" i="180"/>
  <c r="AO31" i="180"/>
  <c r="AN31" i="180"/>
  <c r="AM31" i="180"/>
  <c r="AL31" i="180"/>
  <c r="AK31" i="180"/>
  <c r="AC31" i="180"/>
  <c r="AB31" i="180"/>
  <c r="EZ31" i="180" s="1"/>
  <c r="AA31" i="180"/>
  <c r="R31" i="180"/>
  <c r="Q31" i="180"/>
  <c r="P31" i="180"/>
  <c r="O31" i="180"/>
  <c r="M31" i="180"/>
  <c r="L31" i="180"/>
  <c r="BU31" i="180" s="1"/>
  <c r="K31" i="180"/>
  <c r="J31" i="180"/>
  <c r="F31" i="180"/>
  <c r="BQ31" i="180"/>
  <c r="A31" i="180"/>
  <c r="GK30" i="180"/>
  <c r="GF30" i="180"/>
  <c r="GB30" i="180" s="1"/>
  <c r="EU30" i="180"/>
  <c r="ET30" i="180"/>
  <c r="ES30" i="180"/>
  <c r="ER30" i="180"/>
  <c r="EM30" i="180"/>
  <c r="BQ30" i="180"/>
  <c r="BP30" i="180"/>
  <c r="BO30" i="180"/>
  <c r="BN30" i="180"/>
  <c r="BM30" i="180"/>
  <c r="BR30" i="180" s="1"/>
  <c r="BG30" i="180"/>
  <c r="BF30" i="180"/>
  <c r="BC30" i="180"/>
  <c r="BB30" i="180"/>
  <c r="AY30" i="180"/>
  <c r="AX30" i="180"/>
  <c r="AV30" i="180"/>
  <c r="FG70" i="180" s="1"/>
  <c r="AU30" i="180"/>
  <c r="AT30" i="180"/>
  <c r="AQ30" i="180"/>
  <c r="AP30" i="180"/>
  <c r="AO30" i="180"/>
  <c r="AN30" i="180"/>
  <c r="AM30" i="180"/>
  <c r="AL30" i="180"/>
  <c r="AK30" i="180"/>
  <c r="AC30" i="180"/>
  <c r="AB30" i="180"/>
  <c r="AA30" i="180"/>
  <c r="N30" i="180"/>
  <c r="L30" i="180"/>
  <c r="BU30" i="180" s="1"/>
  <c r="K30" i="180"/>
  <c r="J30" i="180"/>
  <c r="I30" i="180"/>
  <c r="BS30" i="180" s="1"/>
  <c r="F30" i="180"/>
  <c r="E30" i="180"/>
  <c r="D30" i="180"/>
  <c r="A30" i="180"/>
  <c r="BJ30" i="180" s="1"/>
  <c r="GF29" i="180"/>
  <c r="GE29" i="180" s="1"/>
  <c r="EZ29" i="180"/>
  <c r="EY29" i="180"/>
  <c r="EU29" i="180"/>
  <c r="ET29" i="180"/>
  <c r="EQ29" i="180" s="1"/>
  <c r="ES29" i="180"/>
  <c r="ER29" i="180"/>
  <c r="EM29" i="180"/>
  <c r="BU29" i="180"/>
  <c r="BQ29" i="180"/>
  <c r="BP29" i="180"/>
  <c r="BN29" i="180"/>
  <c r="BM29" i="180"/>
  <c r="BG29" i="180"/>
  <c r="BF29" i="180"/>
  <c r="BE29" i="180"/>
  <c r="BD29" i="180"/>
  <c r="FI69" i="180" s="1"/>
  <c r="BC29" i="180"/>
  <c r="BB29" i="180"/>
  <c r="AY29" i="180"/>
  <c r="AX29" i="180"/>
  <c r="AU29" i="180"/>
  <c r="AT29" i="180"/>
  <c r="AS29" i="180"/>
  <c r="AO29" i="180"/>
  <c r="AN29" i="180"/>
  <c r="AM29" i="180"/>
  <c r="AL29" i="180"/>
  <c r="AK29" i="180"/>
  <c r="AC29" i="180"/>
  <c r="AB29" i="180"/>
  <c r="AA29" i="180"/>
  <c r="R29" i="180"/>
  <c r="Q29" i="180"/>
  <c r="P29" i="180"/>
  <c r="O29" i="180"/>
  <c r="N29" i="180"/>
  <c r="L29" i="180"/>
  <c r="K29" i="180"/>
  <c r="J29" i="180"/>
  <c r="F29" i="180"/>
  <c r="BO29" i="180"/>
  <c r="A29" i="180"/>
  <c r="BJ29" i="180" s="1"/>
  <c r="EZ28" i="180"/>
  <c r="EY28" i="180"/>
  <c r="EU28" i="180"/>
  <c r="ET28" i="180"/>
  <c r="ES28" i="180"/>
  <c r="ER28" i="180"/>
  <c r="EM28" i="180"/>
  <c r="BM28" i="180"/>
  <c r="BG28" i="180"/>
  <c r="BF28" i="180"/>
  <c r="BC28" i="180"/>
  <c r="BB28" i="180"/>
  <c r="BA28" i="180"/>
  <c r="AY28" i="180"/>
  <c r="AX28" i="180"/>
  <c r="AV28" i="180"/>
  <c r="FG68" i="180" s="1"/>
  <c r="AU28" i="180"/>
  <c r="AT28" i="180"/>
  <c r="AO28" i="180"/>
  <c r="AN28" i="180"/>
  <c r="AM28" i="180"/>
  <c r="AL28" i="180"/>
  <c r="AK28" i="180"/>
  <c r="AC28" i="180"/>
  <c r="AB28" i="180"/>
  <c r="AA28" i="180"/>
  <c r="Q28" i="180"/>
  <c r="N28" i="180"/>
  <c r="G28" i="180"/>
  <c r="F28" i="180"/>
  <c r="BO28" i="180"/>
  <c r="A28" i="180"/>
  <c r="BJ28" i="180" s="1"/>
  <c r="EU27" i="180"/>
  <c r="ET27" i="180"/>
  <c r="EQ27" i="180" s="1"/>
  <c r="ES27" i="180"/>
  <c r="ER27" i="180"/>
  <c r="EM27" i="180"/>
  <c r="BP27" i="180"/>
  <c r="BO27" i="180"/>
  <c r="BG27" i="180"/>
  <c r="BF27" i="180"/>
  <c r="BC27" i="180"/>
  <c r="BB27" i="180"/>
  <c r="AY27" i="180"/>
  <c r="AX27" i="180"/>
  <c r="AW27" i="180"/>
  <c r="AV27" i="180"/>
  <c r="FG67" i="180" s="1"/>
  <c r="AU27" i="180"/>
  <c r="AT27" i="180"/>
  <c r="AQ27" i="180"/>
  <c r="AP27" i="180"/>
  <c r="AO27" i="180"/>
  <c r="AN27" i="180"/>
  <c r="AM27" i="180"/>
  <c r="AL27" i="180"/>
  <c r="AK27" i="180"/>
  <c r="AC27" i="180"/>
  <c r="AB27" i="180"/>
  <c r="AA27" i="180"/>
  <c r="P27" i="180"/>
  <c r="O27" i="180"/>
  <c r="I27" i="180"/>
  <c r="BS27" i="180" s="1"/>
  <c r="G27" i="180"/>
  <c r="F27" i="180"/>
  <c r="BQ27" i="180"/>
  <c r="A27" i="180"/>
  <c r="GK26" i="180"/>
  <c r="GF26" i="180"/>
  <c r="FQ26" i="180"/>
  <c r="FO26" i="180"/>
  <c r="FE26" i="180"/>
  <c r="FF26" i="180" s="1"/>
  <c r="FD26" i="180"/>
  <c r="FC26" i="180"/>
  <c r="EU26" i="180"/>
  <c r="ET26" i="180"/>
  <c r="ES26" i="180"/>
  <c r="ER26" i="180"/>
  <c r="EM26" i="180"/>
  <c r="BU26" i="180"/>
  <c r="BS26" i="180"/>
  <c r="BQ26" i="180"/>
  <c r="BP26" i="180"/>
  <c r="BN26" i="180"/>
  <c r="BO26" i="180" s="1"/>
  <c r="BJ26" i="180"/>
  <c r="BG26" i="180"/>
  <c r="BF26" i="180"/>
  <c r="BC26" i="180"/>
  <c r="BB26" i="180"/>
  <c r="AY26" i="180"/>
  <c r="AX26" i="180"/>
  <c r="AW26" i="180"/>
  <c r="AK26" i="180"/>
  <c r="AA26" i="180"/>
  <c r="GK25" i="180"/>
  <c r="GF25" i="180"/>
  <c r="FQ25" i="180"/>
  <c r="FO25" i="180"/>
  <c r="FF25" i="180"/>
  <c r="FE25" i="180"/>
  <c r="FD25" i="180"/>
  <c r="FC25" i="180"/>
  <c r="EU25" i="180"/>
  <c r="ET25" i="180"/>
  <c r="EQ25" i="180" s="1"/>
  <c r="ES25" i="180"/>
  <c r="ER25" i="180"/>
  <c r="EM25" i="180"/>
  <c r="BU25" i="180"/>
  <c r="BS25" i="180"/>
  <c r="BQ25" i="180"/>
  <c r="BP25" i="180"/>
  <c r="BN25" i="180"/>
  <c r="BM25" i="180" s="1"/>
  <c r="BJ25" i="180"/>
  <c r="BG25" i="180"/>
  <c r="BF25" i="180"/>
  <c r="BD25" i="180"/>
  <c r="FI65" i="180" s="1"/>
  <c r="BC25" i="180"/>
  <c r="BB25" i="180"/>
  <c r="BA25" i="180"/>
  <c r="AZ25" i="180"/>
  <c r="FH65" i="180" s="1"/>
  <c r="AY25" i="180"/>
  <c r="AX25" i="180"/>
  <c r="AV25" i="180"/>
  <c r="FG65" i="180" s="1"/>
  <c r="AU25" i="180"/>
  <c r="AT25" i="180"/>
  <c r="AK25" i="180"/>
  <c r="AA25" i="180"/>
  <c r="GK24" i="180"/>
  <c r="GF24" i="180"/>
  <c r="FQ24" i="180"/>
  <c r="FO24" i="180"/>
  <c r="FE24" i="180"/>
  <c r="FD24" i="180"/>
  <c r="FC24" i="180"/>
  <c r="EU24" i="180"/>
  <c r="ET24" i="180"/>
  <c r="EQ24" i="180" s="1"/>
  <c r="ES24" i="180"/>
  <c r="ER24" i="180"/>
  <c r="EM24" i="180"/>
  <c r="BU24" i="180"/>
  <c r="BS24" i="180"/>
  <c r="BQ24" i="180"/>
  <c r="BP24" i="180"/>
  <c r="BN24" i="180"/>
  <c r="BJ24" i="180"/>
  <c r="BG24" i="180"/>
  <c r="BF24" i="180"/>
  <c r="BE24" i="180"/>
  <c r="BD24" i="180"/>
  <c r="FI64" i="180" s="1"/>
  <c r="BC24" i="180"/>
  <c r="BB24" i="180"/>
  <c r="AZ24" i="180"/>
  <c r="FH64" i="180" s="1"/>
  <c r="AY24" i="180"/>
  <c r="AX24" i="180"/>
  <c r="AK24" i="180"/>
  <c r="AA24" i="180"/>
  <c r="GK23" i="180"/>
  <c r="GF23" i="180"/>
  <c r="FQ23" i="180"/>
  <c r="FO23" i="180"/>
  <c r="FE23" i="180"/>
  <c r="FD23" i="180"/>
  <c r="FC23" i="180"/>
  <c r="EU23" i="180"/>
  <c r="ET23" i="180"/>
  <c r="EQ23" i="180" s="1"/>
  <c r="ES23" i="180"/>
  <c r="ER23" i="180"/>
  <c r="EM23" i="180"/>
  <c r="BU23" i="180"/>
  <c r="BS23" i="180"/>
  <c r="BQ23" i="180"/>
  <c r="BP23" i="180"/>
  <c r="BN23" i="180"/>
  <c r="BM23" i="180" s="1"/>
  <c r="BJ23" i="180"/>
  <c r="BG23" i="180"/>
  <c r="BF23" i="180"/>
  <c r="BE23" i="180"/>
  <c r="BD23" i="180"/>
  <c r="FI63" i="180" s="1"/>
  <c r="BC23" i="180"/>
  <c r="BB23" i="180"/>
  <c r="AY23" i="180"/>
  <c r="AX23" i="180"/>
  <c r="AW23" i="180"/>
  <c r="AQ23" i="180"/>
  <c r="AK23" i="180"/>
  <c r="AA23" i="180"/>
  <c r="GK22" i="180"/>
  <c r="GF22" i="180"/>
  <c r="FQ22" i="180"/>
  <c r="FO22" i="180"/>
  <c r="FF22" i="180"/>
  <c r="FE22" i="180"/>
  <c r="FD22" i="180"/>
  <c r="FC22" i="180"/>
  <c r="EU22" i="180"/>
  <c r="ET22" i="180"/>
  <c r="EQ22" i="180" s="1"/>
  <c r="ES22" i="180"/>
  <c r="ER22" i="180"/>
  <c r="EM22" i="180"/>
  <c r="BS22" i="180"/>
  <c r="BQ22" i="180"/>
  <c r="BP22" i="180"/>
  <c r="BN22" i="180"/>
  <c r="BO22" i="180" s="1"/>
  <c r="BM22" i="180"/>
  <c r="BJ22" i="180"/>
  <c r="BG22" i="180"/>
  <c r="BF22" i="180"/>
  <c r="BC22" i="180"/>
  <c r="BB22" i="180"/>
  <c r="AY22" i="180"/>
  <c r="AX22" i="180"/>
  <c r="AU22" i="180"/>
  <c r="AT22" i="180"/>
  <c r="AK22" i="180"/>
  <c r="AA22" i="180"/>
  <c r="L22" i="180"/>
  <c r="BU22" i="180" s="1"/>
  <c r="K22" i="180"/>
  <c r="J22" i="180"/>
  <c r="GK21" i="180"/>
  <c r="GF21" i="180"/>
  <c r="FQ21" i="180"/>
  <c r="FO21" i="180"/>
  <c r="FF21" i="180"/>
  <c r="FE21" i="180"/>
  <c r="FD21" i="180"/>
  <c r="FC21" i="180"/>
  <c r="EU21" i="180"/>
  <c r="ET21" i="180"/>
  <c r="EQ21" i="180" s="1"/>
  <c r="ES21" i="180"/>
  <c r="ER21" i="180"/>
  <c r="EM21" i="180"/>
  <c r="BU21" i="180"/>
  <c r="BV21" i="180" s="1"/>
  <c r="BS21" i="180"/>
  <c r="BQ21" i="180"/>
  <c r="BP21" i="180"/>
  <c r="BN21" i="180"/>
  <c r="BM21" i="180" s="1"/>
  <c r="BJ21" i="180"/>
  <c r="BG21" i="180"/>
  <c r="BF21" i="180"/>
  <c r="BE21" i="180"/>
  <c r="BC21" i="180"/>
  <c r="BB21" i="180"/>
  <c r="BA21" i="180"/>
  <c r="AZ21" i="180"/>
  <c r="FH61" i="180" s="1"/>
  <c r="AY21" i="180"/>
  <c r="AX21" i="180"/>
  <c r="AK21" i="180"/>
  <c r="AA21" i="180"/>
  <c r="GK20" i="180"/>
  <c r="GF20" i="180"/>
  <c r="FQ20" i="180"/>
  <c r="FO20" i="180"/>
  <c r="FF20" i="180"/>
  <c r="FE20" i="180"/>
  <c r="FD20" i="180"/>
  <c r="FC20" i="180"/>
  <c r="EU20" i="180"/>
  <c r="ET20" i="180"/>
  <c r="EQ20" i="180" s="1"/>
  <c r="ES20" i="180"/>
  <c r="ER20" i="180"/>
  <c r="EM20" i="180"/>
  <c r="BZ20" i="180"/>
  <c r="BS20" i="180"/>
  <c r="BQ20" i="180"/>
  <c r="BP20" i="180"/>
  <c r="BN20" i="180"/>
  <c r="BO20" i="180" s="1"/>
  <c r="BJ20" i="180"/>
  <c r="BG20" i="180"/>
  <c r="BF20" i="180"/>
  <c r="BE20" i="180"/>
  <c r="BD20" i="180"/>
  <c r="FI60" i="180" s="1"/>
  <c r="BC20" i="180"/>
  <c r="BB20" i="180"/>
  <c r="AY20" i="180"/>
  <c r="AX20" i="180"/>
  <c r="AU20" i="180"/>
  <c r="AT20" i="180"/>
  <c r="AS20" i="180"/>
  <c r="AQ20" i="180"/>
  <c r="AK20" i="180"/>
  <c r="AA20" i="180"/>
  <c r="L20" i="180"/>
  <c r="BU20" i="180" s="1"/>
  <c r="K20" i="180"/>
  <c r="J20" i="180"/>
  <c r="GK19" i="180"/>
  <c r="GF19" i="180"/>
  <c r="FQ19" i="180"/>
  <c r="FO19" i="180"/>
  <c r="FE19" i="180"/>
  <c r="FF19" i="180" s="1"/>
  <c r="FD19" i="180"/>
  <c r="FC19" i="180"/>
  <c r="EU19" i="180"/>
  <c r="ET19" i="180"/>
  <c r="EQ19" i="180" s="1"/>
  <c r="ES19" i="180"/>
  <c r="ER19" i="180"/>
  <c r="EM19" i="180"/>
  <c r="BU19" i="180"/>
  <c r="BS19" i="180"/>
  <c r="BQ19" i="180"/>
  <c r="BR19" i="180" s="1"/>
  <c r="BP19" i="180"/>
  <c r="BO19" i="180"/>
  <c r="BN19" i="180"/>
  <c r="BM19" i="180" s="1"/>
  <c r="BJ19" i="180"/>
  <c r="BG19" i="180"/>
  <c r="BF19" i="180"/>
  <c r="BC19" i="180"/>
  <c r="BB19" i="180"/>
  <c r="AY19" i="180"/>
  <c r="AX19" i="180"/>
  <c r="AW19" i="180"/>
  <c r="AU19" i="180"/>
  <c r="AT19" i="180"/>
  <c r="AK19" i="180"/>
  <c r="AA19" i="180"/>
  <c r="GK18" i="180"/>
  <c r="GF18" i="180"/>
  <c r="FQ18" i="180"/>
  <c r="FO18" i="180"/>
  <c r="FF18" i="180"/>
  <c r="FE18" i="180"/>
  <c r="FD18" i="180"/>
  <c r="FC18" i="180"/>
  <c r="EU18" i="180"/>
  <c r="ET18" i="180"/>
  <c r="ES18" i="180"/>
  <c r="ER18" i="180"/>
  <c r="EM18" i="180"/>
  <c r="BZ18" i="180"/>
  <c r="BU18" i="180"/>
  <c r="BS18" i="180"/>
  <c r="BQ18" i="180"/>
  <c r="BP18" i="180"/>
  <c r="BN18" i="180"/>
  <c r="BO18" i="180" s="1"/>
  <c r="BM18" i="180"/>
  <c r="BJ18" i="180"/>
  <c r="BG18" i="180"/>
  <c r="BF18" i="180"/>
  <c r="BC18" i="180"/>
  <c r="BB18" i="180"/>
  <c r="AY18" i="180"/>
  <c r="AX18" i="180"/>
  <c r="AK18" i="180"/>
  <c r="AA18" i="180"/>
  <c r="GK17" i="180"/>
  <c r="GF17" i="180"/>
  <c r="FQ17" i="180"/>
  <c r="FO17" i="180"/>
  <c r="FE17" i="180"/>
  <c r="FF17" i="180" s="1"/>
  <c r="FD17" i="180"/>
  <c r="FC17" i="180"/>
  <c r="EU17" i="180"/>
  <c r="ET17" i="180"/>
  <c r="ES17" i="180"/>
  <c r="ER17" i="180"/>
  <c r="EM17" i="180"/>
  <c r="BS17" i="180"/>
  <c r="BQ17" i="180"/>
  <c r="BP17" i="180"/>
  <c r="BN17" i="180"/>
  <c r="BJ17" i="180"/>
  <c r="BG17" i="180"/>
  <c r="BF17" i="180"/>
  <c r="BC17" i="180"/>
  <c r="BB17" i="180"/>
  <c r="AY17" i="180"/>
  <c r="AX17" i="180"/>
  <c r="AW17" i="180"/>
  <c r="AV17" i="180"/>
  <c r="FG57" i="180" s="1"/>
  <c r="AU17" i="180"/>
  <c r="AT17" i="180"/>
  <c r="AK17" i="180"/>
  <c r="AA17" i="180"/>
  <c r="L17" i="180"/>
  <c r="BU17" i="180" s="1"/>
  <c r="K17" i="180"/>
  <c r="J17" i="180"/>
  <c r="GK16" i="180"/>
  <c r="GF16" i="180"/>
  <c r="FQ16" i="180"/>
  <c r="FO16" i="180"/>
  <c r="FF16" i="180"/>
  <c r="FE16" i="180"/>
  <c r="FD16" i="180"/>
  <c r="FC16" i="180"/>
  <c r="EU16" i="180"/>
  <c r="ET16" i="180"/>
  <c r="ES16" i="180"/>
  <c r="ER16" i="180"/>
  <c r="EM16" i="180"/>
  <c r="BZ16" i="180"/>
  <c r="BU16" i="180"/>
  <c r="BS16" i="180"/>
  <c r="BQ16" i="180"/>
  <c r="BP16" i="180"/>
  <c r="BN16" i="180"/>
  <c r="BO16" i="180" s="1"/>
  <c r="BJ16" i="180"/>
  <c r="BG16" i="180"/>
  <c r="BF16" i="180"/>
  <c r="BC16" i="180"/>
  <c r="BB16" i="180"/>
  <c r="AY16" i="180"/>
  <c r="AX16" i="180"/>
  <c r="AW16" i="180"/>
  <c r="AV16" i="180"/>
  <c r="FG56" i="180" s="1"/>
  <c r="AU16" i="180"/>
  <c r="AT16" i="180"/>
  <c r="AK16" i="180"/>
  <c r="AA16" i="180"/>
  <c r="GK15" i="180"/>
  <c r="GF15" i="180"/>
  <c r="FQ15" i="180"/>
  <c r="FO15" i="180"/>
  <c r="FE15" i="180"/>
  <c r="FF15" i="180" s="1"/>
  <c r="FD15" i="180"/>
  <c r="FC15" i="180"/>
  <c r="EU15" i="180"/>
  <c r="ET15" i="180"/>
  <c r="ES15" i="180"/>
  <c r="ER15" i="180"/>
  <c r="EQ15" i="180"/>
  <c r="EM15" i="180"/>
  <c r="BU15" i="180"/>
  <c r="BT15" i="180"/>
  <c r="BS15" i="180"/>
  <c r="BQ15" i="180"/>
  <c r="BP15" i="180"/>
  <c r="BN15" i="180"/>
  <c r="BM15" i="180" s="1"/>
  <c r="BJ15" i="180"/>
  <c r="BG15" i="180"/>
  <c r="BF15" i="180"/>
  <c r="BC15" i="180"/>
  <c r="BB15" i="180"/>
  <c r="AY15" i="180"/>
  <c r="AX15" i="180"/>
  <c r="AU15" i="180"/>
  <c r="AT15" i="180"/>
  <c r="AS15" i="180"/>
  <c r="AR15" i="180"/>
  <c r="FF55" i="180" s="1"/>
  <c r="AK15" i="180"/>
  <c r="AA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14" i="180"/>
  <c r="GF14" i="180"/>
  <c r="FQ14" i="180"/>
  <c r="FO14" i="180"/>
  <c r="FE14" i="180"/>
  <c r="FD14" i="180"/>
  <c r="FC14" i="180"/>
  <c r="FF14" i="180" s="1"/>
  <c r="ET14" i="180"/>
  <c r="EQ14" i="180" s="1"/>
  <c r="ES14" i="180"/>
  <c r="ER14" i="180"/>
  <c r="EM14" i="180"/>
  <c r="BU14" i="180"/>
  <c r="BS14" i="180"/>
  <c r="BQ14" i="180"/>
  <c r="BP14" i="180"/>
  <c r="BN14" i="180"/>
  <c r="BJ14" i="180"/>
  <c r="BG14" i="180"/>
  <c r="BF14" i="180"/>
  <c r="BE14" i="180"/>
  <c r="BC14" i="180"/>
  <c r="BB14" i="180"/>
  <c r="AY14" i="180"/>
  <c r="AX14" i="180"/>
  <c r="AU14" i="180"/>
  <c r="AT14" i="180"/>
  <c r="AK14" i="180"/>
  <c r="AA14" i="180"/>
  <c r="JH12" i="180"/>
  <c r="JD12" i="180"/>
  <c r="JB12" i="180"/>
  <c r="IP12" i="180"/>
  <c r="ID12" i="180"/>
  <c r="IB12" i="180"/>
  <c r="HQ12" i="180"/>
  <c r="HK12" i="180"/>
  <c r="HJ12" i="180"/>
  <c r="BE10" i="180"/>
  <c r="AX10" i="180"/>
  <c r="Z10" i="180"/>
  <c r="T10" i="180"/>
  <c r="C10" i="180"/>
  <c r="AE10" i="180" s="1"/>
  <c r="T9" i="180"/>
  <c r="AX9" i="180" s="1"/>
  <c r="C9" i="180"/>
  <c r="AE9" i="180" s="1"/>
  <c r="BB7" i="180"/>
  <c r="BB6" i="180"/>
  <c r="X6" i="180"/>
  <c r="M6" i="180"/>
  <c r="EX5" i="180"/>
  <c r="ES5" i="180"/>
  <c r="ER5" i="180"/>
  <c r="EQ5" i="180"/>
  <c r="EP5" i="180"/>
  <c r="EO5" i="180"/>
  <c r="EN5" i="180"/>
  <c r="EM5" i="180"/>
  <c r="EL5" i="180"/>
  <c r="EK5" i="180"/>
  <c r="EJ5" i="180"/>
  <c r="EI5" i="180"/>
  <c r="EH5" i="180"/>
  <c r="EG5" i="180"/>
  <c r="EF5" i="180"/>
  <c r="EE5" i="180"/>
  <c r="ED5" i="180"/>
  <c r="EC5" i="180"/>
  <c r="EB5" i="180"/>
  <c r="EA5" i="180"/>
  <c r="DZ5" i="180"/>
  <c r="DY5" i="180"/>
  <c r="DX5" i="180"/>
  <c r="DW5" i="180"/>
  <c r="DV5" i="180"/>
  <c r="DU5" i="180"/>
  <c r="DT5" i="180"/>
  <c r="DS5" i="180"/>
  <c r="DR5" i="180"/>
  <c r="DQ5" i="180"/>
  <c r="DP5" i="180"/>
  <c r="DO5" i="180"/>
  <c r="DN5" i="180"/>
  <c r="DM5" i="180"/>
  <c r="DL5" i="180"/>
  <c r="DK5" i="180"/>
  <c r="DJ5" i="180"/>
  <c r="DI5" i="180"/>
  <c r="DH5" i="180"/>
  <c r="DE5" i="180"/>
  <c r="DD5" i="180"/>
  <c r="DC5" i="180"/>
  <c r="DB5" i="180"/>
  <c r="DA5" i="180"/>
  <c r="CZ5" i="180"/>
  <c r="CY5" i="180"/>
  <c r="CX5" i="180"/>
  <c r="CW5" i="180"/>
  <c r="CV5" i="180"/>
  <c r="CU5" i="180"/>
  <c r="CT5" i="180"/>
  <c r="CS5" i="180"/>
  <c r="CR5" i="180"/>
  <c r="CQ5" i="180"/>
  <c r="CP5" i="180"/>
  <c r="CO5" i="180"/>
  <c r="CN5" i="180"/>
  <c r="CM5" i="180"/>
  <c r="CL5" i="180"/>
  <c r="CK5" i="180"/>
  <c r="CJ5" i="180"/>
  <c r="CI5" i="180"/>
  <c r="CH5" i="180"/>
  <c r="CG5" i="180"/>
  <c r="CF5" i="180"/>
  <c r="CE5" i="180"/>
  <c r="CD5" i="180"/>
  <c r="CC5" i="180"/>
  <c r="CB5" i="180"/>
  <c r="FF4" i="180"/>
  <c r="FE4" i="180"/>
  <c r="BV25" i="180" s="1"/>
  <c r="FD4" i="180"/>
  <c r="FC4" i="180"/>
  <c r="FB4" i="180"/>
  <c r="FA4" i="180"/>
  <c r="EZ4" i="180"/>
  <c r="EY4" i="180"/>
  <c r="FG2" i="180"/>
  <c r="FE2" i="180"/>
  <c r="EU56" i="180" s="1"/>
  <c r="FC2" i="180"/>
  <c r="FA2" i="180"/>
  <c r="EN70" i="180" s="1"/>
  <c r="X30" i="180" s="1"/>
  <c r="AU2" i="180"/>
  <c r="Q2" i="180"/>
  <c r="HA1" i="180"/>
  <c r="FG1" i="180"/>
  <c r="FB1" i="180"/>
  <c r="FA1" i="180"/>
  <c r="BK1" i="180"/>
  <c r="BK27" i="180" s="1"/>
  <c r="BJ1" i="180"/>
  <c r="Q1" i="180" s="1"/>
  <c r="AU1" i="180" s="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AS45" i="179" s="1"/>
  <c r="GE85" i="179"/>
  <c r="AQ45" i="179" s="1"/>
  <c r="GD85" i="179"/>
  <c r="AP45" i="179" s="1"/>
  <c r="FM85" i="179"/>
  <c r="FD85" i="179"/>
  <c r="FC85" i="179"/>
  <c r="EX85" i="179"/>
  <c r="ET85" i="179"/>
  <c r="EP85" i="179"/>
  <c r="EK85" i="179"/>
  <c r="ED85" i="179"/>
  <c r="EB85" i="179"/>
  <c r="EA85" i="179"/>
  <c r="R45" i="179" s="1"/>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BE44" i="179" s="1"/>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CF84" i="179"/>
  <c r="FD84" i="179" s="1"/>
  <c r="CE84" i="179"/>
  <c r="CD84" i="179"/>
  <c r="CC84" i="179"/>
  <c r="EF84" i="179" s="1"/>
  <c r="CB84" i="179"/>
  <c r="GI83" i="179"/>
  <c r="BD43" i="179" s="1"/>
  <c r="FI83" i="179" s="1"/>
  <c r="GH83" i="179"/>
  <c r="BA43" i="179" s="1"/>
  <c r="GG83" i="179"/>
  <c r="AW43" i="179" s="1"/>
  <c r="GF83" i="179"/>
  <c r="AS43" i="179" s="1"/>
  <c r="GE83" i="179"/>
  <c r="AQ43" i="179" s="1"/>
  <c r="GD83" i="179"/>
  <c r="AP43" i="179" s="1"/>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AW40" i="179" s="1"/>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CI80" i="179"/>
  <c r="CH80" i="179"/>
  <c r="CG80" i="179"/>
  <c r="DZ80" i="179" s="1"/>
  <c r="CF80" i="179"/>
  <c r="CE80" i="179"/>
  <c r="CD80" i="179"/>
  <c r="DB80" i="179" s="1"/>
  <c r="CC80" i="179"/>
  <c r="EF80" i="179" s="1"/>
  <c r="CB80" i="179"/>
  <c r="GI79" i="179"/>
  <c r="BE39" i="179" s="1"/>
  <c r="GH79" i="179"/>
  <c r="BA39" i="179" s="1"/>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AZ38" i="179" s="1"/>
  <c r="FH78" i="179" s="1"/>
  <c r="GG78" i="179"/>
  <c r="AV38" i="179" s="1"/>
  <c r="FG78" i="179" s="1"/>
  <c r="GF78" i="179"/>
  <c r="AR38" i="179" s="1"/>
  <c r="FF78" i="179" s="1"/>
  <c r="GE78" i="179"/>
  <c r="AQ38" i="179" s="1"/>
  <c r="GD78" i="179"/>
  <c r="AP38" i="179" s="1"/>
  <c r="FM78" i="179"/>
  <c r="FE78" i="179"/>
  <c r="FC78" i="179"/>
  <c r="EX78" i="179"/>
  <c r="EW78" i="179"/>
  <c r="ET78" i="179"/>
  <c r="EP78" i="179"/>
  <c r="EF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AW37" i="179" s="1"/>
  <c r="GF77" i="179"/>
  <c r="AS37" i="179" s="1"/>
  <c r="GE77" i="179"/>
  <c r="AQ37" i="179" s="1"/>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AW36" i="179" s="1"/>
  <c r="GF76" i="179"/>
  <c r="AS36" i="179" s="1"/>
  <c r="GE76" i="179"/>
  <c r="AQ36" i="179" s="1"/>
  <c r="GD76" i="179"/>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AP35" i="179" s="1"/>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BA34" i="179" s="1"/>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AP33" i="179" s="1"/>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AW26" i="179" s="1"/>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AW16" i="179" s="1"/>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O45" i="179"/>
  <c r="AN45" i="179"/>
  <c r="AM45" i="179"/>
  <c r="AL45" i="179"/>
  <c r="AK45" i="179"/>
  <c r="AC45" i="179"/>
  <c r="AB45" i="179"/>
  <c r="AA45" i="179"/>
  <c r="P45" i="179"/>
  <c r="O45" i="179"/>
  <c r="N45" i="179"/>
  <c r="I45" i="179"/>
  <c r="BS45" i="179" s="1"/>
  <c r="H45" i="179"/>
  <c r="G45" i="179"/>
  <c r="F45" i="179"/>
  <c r="E45" i="179"/>
  <c r="BQ45" i="179"/>
  <c r="A45" i="179"/>
  <c r="GF45" i="179" s="1"/>
  <c r="EZ44" i="179"/>
  <c r="EY44" i="179"/>
  <c r="EU44" i="179"/>
  <c r="ET44" i="179"/>
  <c r="EQ44" i="179" s="1"/>
  <c r="ES44" i="179"/>
  <c r="ER44" i="179"/>
  <c r="EM44" i="179"/>
  <c r="BN44" i="179"/>
  <c r="BM44" i="179"/>
  <c r="BG44" i="179"/>
  <c r="BF44" i="179"/>
  <c r="BC44" i="179"/>
  <c r="BB44" i="179"/>
  <c r="AY44" i="179"/>
  <c r="AX44" i="179"/>
  <c r="AU44" i="179"/>
  <c r="AT44" i="179"/>
  <c r="AO44" i="179"/>
  <c r="AN44" i="179"/>
  <c r="AM44" i="179"/>
  <c r="AL44" i="179"/>
  <c r="AK44" i="179"/>
  <c r="AC44" i="179"/>
  <c r="AB44" i="179"/>
  <c r="AA44" i="179"/>
  <c r="R44" i="179"/>
  <c r="Q44" i="179"/>
  <c r="P44" i="179"/>
  <c r="O44" i="179"/>
  <c r="N44" i="179"/>
  <c r="F44" i="179"/>
  <c r="E44" i="179"/>
  <c r="D44" i="179"/>
  <c r="GK44" i="179" s="1"/>
  <c r="BQ44" i="179"/>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AZ43" i="179"/>
  <c r="FH83" i="179" s="1"/>
  <c r="AY43" i="179"/>
  <c r="AX43" i="179"/>
  <c r="AU43" i="179"/>
  <c r="AT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N42" i="179"/>
  <c r="BO42" i="179" s="1"/>
  <c r="BM42" i="179"/>
  <c r="BJ42" i="179"/>
  <c r="BG42" i="179"/>
  <c r="BF42" i="179"/>
  <c r="BC42" i="179"/>
  <c r="BB42" i="179"/>
  <c r="AY42" i="179"/>
  <c r="AX42" i="179"/>
  <c r="AW42" i="179"/>
  <c r="AV42" i="179"/>
  <c r="FG82" i="179" s="1"/>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J41" i="179"/>
  <c r="BG41" i="179"/>
  <c r="BF41" i="179"/>
  <c r="BC41" i="179"/>
  <c r="BB41" i="179"/>
  <c r="BA41" i="179"/>
  <c r="AY41" i="179"/>
  <c r="AX41" i="179"/>
  <c r="AV41" i="179"/>
  <c r="FG81" i="179" s="1"/>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N40" i="179"/>
  <c r="BM40" i="179" s="1"/>
  <c r="BJ40" i="179"/>
  <c r="BG40" i="179"/>
  <c r="BF40" i="179"/>
  <c r="BC40" i="179"/>
  <c r="BB40" i="179"/>
  <c r="AY40" i="179"/>
  <c r="AX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J38" i="179"/>
  <c r="BG38" i="179"/>
  <c r="BF38" i="179"/>
  <c r="BC38" i="179"/>
  <c r="BB38" i="179"/>
  <c r="AY38" i="179"/>
  <c r="AX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O37" i="179"/>
  <c r="BN37" i="179"/>
  <c r="BM37" i="179" s="1"/>
  <c r="BJ37" i="179"/>
  <c r="BG37" i="179"/>
  <c r="BF37" i="179"/>
  <c r="BC37" i="179"/>
  <c r="BB37" i="179"/>
  <c r="AY37" i="179"/>
  <c r="AX37" i="179"/>
  <c r="AU37" i="179"/>
  <c r="AT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M36" i="179"/>
  <c r="BK36" i="179"/>
  <c r="BJ36" i="179"/>
  <c r="BG36" i="179"/>
  <c r="BF36" i="179"/>
  <c r="BC36" i="179"/>
  <c r="BB36" i="179"/>
  <c r="BA36" i="179"/>
  <c r="AY36" i="179"/>
  <c r="AX36" i="179"/>
  <c r="AU36" i="179"/>
  <c r="AT36" i="179"/>
  <c r="AP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M35" i="179"/>
  <c r="BK35" i="179"/>
  <c r="BJ35" i="179"/>
  <c r="BG35" i="179"/>
  <c r="BF35" i="179"/>
  <c r="BC35" i="179"/>
  <c r="BB35" i="179"/>
  <c r="BA35" i="179"/>
  <c r="AZ35" i="179"/>
  <c r="FH75" i="179" s="1"/>
  <c r="AY35" i="179"/>
  <c r="AX35" i="179"/>
  <c r="AU35" i="179"/>
  <c r="AT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AY34" i="179"/>
  <c r="AX34" i="179"/>
  <c r="AU34" i="179"/>
  <c r="AT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s="1"/>
  <c r="BR33" i="179" s="1"/>
  <c r="BJ33" i="179"/>
  <c r="BG33" i="179"/>
  <c r="BF33" i="179"/>
  <c r="BE33" i="179"/>
  <c r="BD33" i="179"/>
  <c r="FI73" i="179" s="1"/>
  <c r="BC33" i="179"/>
  <c r="BB33" i="179"/>
  <c r="BA33" i="179"/>
  <c r="AY33" i="179"/>
  <c r="AX33" i="179"/>
  <c r="AU33" i="179"/>
  <c r="AT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O32" i="179"/>
  <c r="BN32" i="179"/>
  <c r="BM32" i="179"/>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J30" i="179"/>
  <c r="BG30" i="179"/>
  <c r="BF30" i="179"/>
  <c r="BC30" i="179"/>
  <c r="BB30" i="179"/>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M29" i="179"/>
  <c r="BK29" i="179"/>
  <c r="BJ29" i="179"/>
  <c r="BG29" i="179"/>
  <c r="BF29" i="179"/>
  <c r="BE29" i="179"/>
  <c r="BD29" i="179"/>
  <c r="FI69" i="179" s="1"/>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BO28" i="179"/>
  <c r="BN28" i="179"/>
  <c r="BM28" i="179"/>
  <c r="BJ28" i="179"/>
  <c r="BY14" i="179" s="1"/>
  <c r="BG28" i="179"/>
  <c r="BF28" i="179"/>
  <c r="BC28" i="179"/>
  <c r="BB28" i="179"/>
  <c r="AY28" i="179"/>
  <c r="AX28" i="179"/>
  <c r="AU28" i="179"/>
  <c r="AT28" i="179"/>
  <c r="AK28" i="179"/>
  <c r="AA28" i="179"/>
  <c r="FQ27" i="179"/>
  <c r="FF27" i="179"/>
  <c r="FE27" i="179"/>
  <c r="FD27" i="179"/>
  <c r="FC27" i="179"/>
  <c r="BZ27" i="179"/>
  <c r="BG27" i="179"/>
  <c r="BF27" i="179"/>
  <c r="BC27" i="179"/>
  <c r="BB27" i="179"/>
  <c r="AY27" i="179"/>
  <c r="AX27" i="179"/>
  <c r="AU27" i="179"/>
  <c r="AT27" i="179"/>
  <c r="AQ27" i="179"/>
  <c r="AK27" i="179"/>
  <c r="HY26" i="179"/>
  <c r="HU26" i="179"/>
  <c r="HI26" i="179"/>
  <c r="HD26" i="179"/>
  <c r="FQ26" i="179"/>
  <c r="EY26" i="179"/>
  <c r="BG26" i="179"/>
  <c r="BF26" i="179"/>
  <c r="BC26" i="179"/>
  <c r="BB26" i="179"/>
  <c r="AY26" i="179"/>
  <c r="AX26" i="179"/>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V23" i="179"/>
  <c r="FG63" i="179" s="1"/>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E17" i="179"/>
  <c r="BC17" i="179"/>
  <c r="BB17" i="179"/>
  <c r="AY17" i="179"/>
  <c r="AX17" i="179"/>
  <c r="AW17" i="179"/>
  <c r="AU17" i="179"/>
  <c r="AT17" i="179"/>
  <c r="AK17" i="179"/>
  <c r="FQ16" i="179"/>
  <c r="FE16" i="179"/>
  <c r="FF16" i="179" s="1"/>
  <c r="FD16" i="179"/>
  <c r="FC16" i="179"/>
  <c r="BZ16" i="179"/>
  <c r="BG16" i="179"/>
  <c r="BF16" i="179"/>
  <c r="BC16" i="179"/>
  <c r="BB16" i="179"/>
  <c r="AY16" i="179"/>
  <c r="AX16" i="179"/>
  <c r="AV16" i="179"/>
  <c r="FG56" i="179" s="1"/>
  <c r="AU16" i="179"/>
  <c r="AT16" i="179"/>
  <c r="AK16" i="179"/>
  <c r="FQ15" i="179"/>
  <c r="FE15" i="179"/>
  <c r="FF15" i="179" s="1"/>
  <c r="FD15" i="179"/>
  <c r="FC15" i="179"/>
  <c r="BZ15" i="179"/>
  <c r="BG15" i="179"/>
  <c r="BF15" i="179"/>
  <c r="BC15" i="179"/>
  <c r="BB15" i="179"/>
  <c r="AY15" i="179"/>
  <c r="AX15" i="179"/>
  <c r="AU15" i="179"/>
  <c r="AT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BA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R46" i="176"/>
  <c r="AO45" i="176"/>
  <c r="AO46" i="176" s="1"/>
  <c r="P46" i="176" s="1"/>
  <c r="R45" i="176"/>
  <c r="R44" i="176"/>
  <c r="R43" i="176"/>
  <c r="AO42" i="176"/>
  <c r="AO43" i="176" s="1"/>
  <c r="R42" i="176"/>
  <c r="R41" i="176"/>
  <c r="R40" i="176"/>
  <c r="AO39" i="176"/>
  <c r="AO40" i="176" s="1"/>
  <c r="R39" i="176"/>
  <c r="P39" i="176"/>
  <c r="R38" i="176"/>
  <c r="R37" i="176"/>
  <c r="R36" i="176"/>
  <c r="R35" i="176"/>
  <c r="R34" i="176"/>
  <c r="AO33" i="176"/>
  <c r="AO34" i="176" s="1"/>
  <c r="R33" i="176"/>
  <c r="R32" i="176"/>
  <c r="AO31" i="176"/>
  <c r="AO32" i="176" s="1"/>
  <c r="P32" i="176" s="1"/>
  <c r="R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R22" i="176"/>
  <c r="R21" i="176"/>
  <c r="R20" i="176"/>
  <c r="AO19" i="176"/>
  <c r="AO20" i="176" s="1"/>
  <c r="R19" i="176"/>
  <c r="R18" i="176"/>
  <c r="R17" i="176"/>
  <c r="R16" i="176"/>
  <c r="AO15" i="176"/>
  <c r="AO16" i="176" s="1"/>
  <c r="R15" i="176"/>
  <c r="AO14" i="176"/>
  <c r="P14" i="176" s="1"/>
  <c r="R14" i="176"/>
  <c r="N10" i="176"/>
  <c r="K10" i="176"/>
  <c r="B10" i="176"/>
  <c r="K9" i="176"/>
  <c r="B9" i="176"/>
  <c r="N6" i="176"/>
  <c r="I2" i="176"/>
  <c r="T1" i="176"/>
  <c r="S1" i="176"/>
  <c r="I4" i="176" s="1"/>
  <c r="R55" i="175"/>
  <c r="R54" i="175"/>
  <c r="R53" i="175"/>
  <c r="AO52" i="175"/>
  <c r="AO53" i="175" s="1"/>
  <c r="R52" i="175"/>
  <c r="AO51" i="175"/>
  <c r="P51" i="175" s="1"/>
  <c r="R51" i="175"/>
  <c r="AO50" i="175"/>
  <c r="P50" i="175" s="1"/>
  <c r="R50" i="175"/>
  <c r="R49" i="175"/>
  <c r="AO48" i="175"/>
  <c r="P48" i="175" s="1"/>
  <c r="R48" i="175"/>
  <c r="R47" i="175"/>
  <c r="R46" i="175"/>
  <c r="AO45" i="175"/>
  <c r="AO46" i="175" s="1"/>
  <c r="AO47" i="175" s="1"/>
  <c r="P47" i="175" s="1"/>
  <c r="R45" i="175"/>
  <c r="P45" i="175"/>
  <c r="AO44" i="175"/>
  <c r="P44" i="175" s="1"/>
  <c r="R44" i="175"/>
  <c r="AO43" i="175"/>
  <c r="P43" i="175" s="1"/>
  <c r="R43" i="175"/>
  <c r="AO42" i="175"/>
  <c r="P42" i="175" s="1"/>
  <c r="R42" i="175"/>
  <c r="AO41" i="175"/>
  <c r="P41" i="175" s="1"/>
  <c r="R41" i="175"/>
  <c r="AO40" i="175"/>
  <c r="P40" i="175" s="1"/>
  <c r="R40" i="175"/>
  <c r="AO39" i="175"/>
  <c r="P39" i="175" s="1"/>
  <c r="R39" i="175"/>
  <c r="AO38" i="175"/>
  <c r="R38" i="175"/>
  <c r="P38" i="175"/>
  <c r="R37" i="175"/>
  <c r="AO36" i="175"/>
  <c r="AO37" i="175" s="1"/>
  <c r="P37" i="175" s="1"/>
  <c r="R36" i="175"/>
  <c r="R35" i="175"/>
  <c r="AO34" i="175"/>
  <c r="AO35" i="175" s="1"/>
  <c r="P35" i="175" s="1"/>
  <c r="R34" i="175"/>
  <c r="R33" i="175"/>
  <c r="AO32" i="175"/>
  <c r="P32" i="175" s="1"/>
  <c r="R32" i="175"/>
  <c r="AO31" i="175"/>
  <c r="P31" i="175" s="1"/>
  <c r="R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P30" i="175" s="1"/>
  <c r="R30" i="175"/>
  <c r="AO29" i="175"/>
  <c r="P29" i="175" s="1"/>
  <c r="R29" i="175"/>
  <c r="AO28" i="175"/>
  <c r="R28" i="175"/>
  <c r="P28" i="175"/>
  <c r="AO27" i="175"/>
  <c r="P27" i="175" s="1"/>
  <c r="R27" i="175"/>
  <c r="R26" i="175"/>
  <c r="AO25" i="175"/>
  <c r="AO26" i="175" s="1"/>
  <c r="P26" i="175" s="1"/>
  <c r="R25" i="175"/>
  <c r="R24" i="175"/>
  <c r="AO23" i="175"/>
  <c r="AO24" i="175" s="1"/>
  <c r="P24" i="175" s="1"/>
  <c r="R23" i="175"/>
  <c r="AO22" i="175"/>
  <c r="P22" i="175" s="1"/>
  <c r="R22" i="175"/>
  <c r="AO21" i="175"/>
  <c r="P21" i="175" s="1"/>
  <c r="R21" i="175"/>
  <c r="AO20" i="175"/>
  <c r="P20" i="175" s="1"/>
  <c r="R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P15" i="206" l="1"/>
  <c r="AO16" i="206"/>
  <c r="P14" i="206"/>
  <c r="P15" i="205"/>
  <c r="AO16" i="205"/>
  <c r="I2" i="205"/>
  <c r="P14" i="205"/>
  <c r="P15" i="204"/>
  <c r="AO16" i="204"/>
  <c r="P14" i="204"/>
  <c r="P15" i="203"/>
  <c r="AO16" i="203"/>
  <c r="I2" i="203"/>
  <c r="P14" i="203"/>
  <c r="P15" i="202"/>
  <c r="AO16" i="202"/>
  <c r="P14" i="202"/>
  <c r="P15" i="201"/>
  <c r="AO16" i="201"/>
  <c r="I1" i="201"/>
  <c r="I2" i="201"/>
  <c r="P14" i="201"/>
  <c r="AO16" i="200"/>
  <c r="P15" i="200"/>
  <c r="I2" i="200"/>
  <c r="P14" i="200"/>
  <c r="P15" i="199"/>
  <c r="AO16" i="199"/>
  <c r="I2" i="199"/>
  <c r="P14" i="199"/>
  <c r="P15" i="198"/>
  <c r="AO16" i="198"/>
  <c r="I1" i="198"/>
  <c r="I2" i="198"/>
  <c r="P14" i="198"/>
  <c r="P15" i="197"/>
  <c r="AO16" i="197"/>
  <c r="I2" i="197"/>
  <c r="P14" i="197"/>
  <c r="P15" i="196"/>
  <c r="AO16" i="196"/>
  <c r="I2" i="196"/>
  <c r="P14" i="196"/>
  <c r="AO15" i="195"/>
  <c r="P15" i="195" s="1"/>
  <c r="I1" i="195"/>
  <c r="I2" i="195"/>
  <c r="AO17" i="195"/>
  <c r="P15" i="194"/>
  <c r="AO16" i="194"/>
  <c r="I2" i="194"/>
  <c r="P14" i="194"/>
  <c r="P15" i="193"/>
  <c r="AO16" i="193"/>
  <c r="P14" i="193"/>
  <c r="P15" i="192"/>
  <c r="AO16" i="192"/>
  <c r="P14" i="192"/>
  <c r="AO16" i="191"/>
  <c r="P16" i="191" s="1"/>
  <c r="P15" i="190"/>
  <c r="AO16" i="190"/>
  <c r="P14" i="190"/>
  <c r="P14" i="189"/>
  <c r="P15" i="189"/>
  <c r="AO16" i="189"/>
  <c r="I2" i="189"/>
  <c r="BM26" i="180"/>
  <c r="BR26" i="180" s="1"/>
  <c r="BO21" i="180"/>
  <c r="BR21" i="180" s="1"/>
  <c r="BD18" i="180"/>
  <c r="FI58" i="180" s="1"/>
  <c r="O42" i="180"/>
  <c r="BM16" i="180"/>
  <c r="BR16" i="180" s="1"/>
  <c r="BM20" i="180"/>
  <c r="AR19" i="180"/>
  <c r="FF59" i="180" s="1"/>
  <c r="BD33" i="180"/>
  <c r="FI73" i="180" s="1"/>
  <c r="BD35" i="180"/>
  <c r="FI75" i="180" s="1"/>
  <c r="BO23" i="180"/>
  <c r="BR23" i="180" s="1"/>
  <c r="AR28" i="180"/>
  <c r="FF68" i="180" s="1"/>
  <c r="BO25" i="180"/>
  <c r="BD37" i="180"/>
  <c r="FI77" i="180" s="1"/>
  <c r="BE43" i="180"/>
  <c r="BR30" i="179"/>
  <c r="BM38" i="179"/>
  <c r="AV26" i="179"/>
  <c r="FG66" i="179" s="1"/>
  <c r="BR32" i="179"/>
  <c r="BR37" i="179"/>
  <c r="AV44" i="179"/>
  <c r="FG84" i="179" s="1"/>
  <c r="BR42" i="179"/>
  <c r="BO40" i="179"/>
  <c r="BR40" i="179" s="1"/>
  <c r="Q45" i="179"/>
  <c r="BR28" i="179"/>
  <c r="BM41" i="179"/>
  <c r="BR41" i="179" s="1"/>
  <c r="FA68" i="179"/>
  <c r="EY68" i="179" s="1"/>
  <c r="BR31" i="179"/>
  <c r="BR36" i="179"/>
  <c r="P15" i="176"/>
  <c r="P45" i="176"/>
  <c r="P23" i="176"/>
  <c r="P31" i="176"/>
  <c r="P23" i="175"/>
  <c r="P52" i="175"/>
  <c r="P36" i="175"/>
  <c r="P25" i="175"/>
  <c r="AV37" i="179"/>
  <c r="FG77" i="179" s="1"/>
  <c r="AV20" i="180"/>
  <c r="FG60" i="180" s="1"/>
  <c r="BD44" i="179"/>
  <c r="FI84" i="179" s="1"/>
  <c r="BD27" i="179"/>
  <c r="FI67" i="179" s="1"/>
  <c r="BE30" i="179"/>
  <c r="AW35" i="179"/>
  <c r="AV36" i="179"/>
  <c r="FG76" i="179" s="1"/>
  <c r="BA38" i="179"/>
  <c r="AZ39" i="179"/>
  <c r="FH79" i="179" s="1"/>
  <c r="AZ14" i="180"/>
  <c r="FH54" i="180" s="1"/>
  <c r="BD17" i="180"/>
  <c r="FI57" i="180" s="1"/>
  <c r="H28" i="180"/>
  <c r="AV35" i="180"/>
  <c r="FG75" i="180" s="1"/>
  <c r="EF68" i="180"/>
  <c r="AV22" i="180"/>
  <c r="FG62" i="180" s="1"/>
  <c r="AW29" i="180"/>
  <c r="BD21" i="179"/>
  <c r="FI61" i="179" s="1"/>
  <c r="AS34" i="179"/>
  <c r="BD16" i="179"/>
  <c r="FI56" i="179" s="1"/>
  <c r="AZ18" i="180"/>
  <c r="FH58" i="180" s="1"/>
  <c r="AZ22" i="180"/>
  <c r="FH62" i="180" s="1"/>
  <c r="G30" i="180"/>
  <c r="BD30" i="180"/>
  <c r="FI70" i="180" s="1"/>
  <c r="EQ30" i="180"/>
  <c r="AR31" i="180"/>
  <c r="FF71" i="180" s="1"/>
  <c r="H35" i="180"/>
  <c r="AW38" i="180"/>
  <c r="AS15" i="179"/>
  <c r="AZ28" i="179"/>
  <c r="FH68" i="179" s="1"/>
  <c r="AR17" i="180"/>
  <c r="FF57" i="180" s="1"/>
  <c r="EV61" i="180"/>
  <c r="AZ34" i="179"/>
  <c r="FH74" i="179" s="1"/>
  <c r="AW38" i="179"/>
  <c r="AV43" i="179"/>
  <c r="FG83" i="179" s="1"/>
  <c r="AR45" i="179"/>
  <c r="FF85" i="179" s="1"/>
  <c r="G31" i="180"/>
  <c r="AR35" i="180"/>
  <c r="FF75" i="180" s="1"/>
  <c r="AZ30" i="179"/>
  <c r="FH70" i="179" s="1"/>
  <c r="EV80" i="179"/>
  <c r="AZ15" i="180"/>
  <c r="BD16" i="180"/>
  <c r="FI56" i="180" s="1"/>
  <c r="EQ18" i="180"/>
  <c r="AV21" i="180"/>
  <c r="FG61" i="180" s="1"/>
  <c r="AZ26" i="180"/>
  <c r="FH66" i="180" s="1"/>
  <c r="EV67" i="180"/>
  <c r="H32" i="180"/>
  <c r="AV34" i="179"/>
  <c r="FG74" i="179" s="1"/>
  <c r="AZ37" i="179"/>
  <c r="FH77" i="179" s="1"/>
  <c r="AR42" i="179"/>
  <c r="FF82" i="179" s="1"/>
  <c r="AV15" i="180"/>
  <c r="FG55" i="180" s="1"/>
  <c r="AZ19" i="180"/>
  <c r="FH59" i="180" s="1"/>
  <c r="BA15" i="179"/>
  <c r="AZ23" i="179"/>
  <c r="FH63" i="179" s="1"/>
  <c r="EV75" i="180"/>
  <c r="BD18" i="179"/>
  <c r="FI58" i="179" s="1"/>
  <c r="BD41" i="179"/>
  <c r="FI81" i="179" s="1"/>
  <c r="AR14" i="179"/>
  <c r="FF54" i="179" s="1"/>
  <c r="AR36" i="179"/>
  <c r="FF76" i="179" s="1"/>
  <c r="EF76" i="179"/>
  <c r="BD28" i="179"/>
  <c r="FI68" i="179" s="1"/>
  <c r="BE38" i="179"/>
  <c r="AR44" i="179"/>
  <c r="FF84" i="179" s="1"/>
  <c r="CZ75" i="179"/>
  <c r="AZ16" i="180"/>
  <c r="FH56" i="180" s="1"/>
  <c r="AR27" i="180"/>
  <c r="FF67" i="180" s="1"/>
  <c r="BD31" i="180"/>
  <c r="FI71" i="180" s="1"/>
  <c r="AZ45" i="179"/>
  <c r="FH85" i="179" s="1"/>
  <c r="AR22" i="179"/>
  <c r="FF62" i="179" s="1"/>
  <c r="AR37" i="179"/>
  <c r="FF77" i="179" s="1"/>
  <c r="EV77" i="179"/>
  <c r="AZ22" i="179"/>
  <c r="FH62" i="179" s="1"/>
  <c r="AV24" i="179"/>
  <c r="FG64" i="179" s="1"/>
  <c r="EF57" i="180"/>
  <c r="EV73" i="180"/>
  <c r="EE77" i="179"/>
  <c r="EG77" i="179" s="1"/>
  <c r="DL77" i="179" s="1"/>
  <c r="DN77" i="179" s="1"/>
  <c r="AW29" i="179"/>
  <c r="AS37" i="180"/>
  <c r="BE38" i="180"/>
  <c r="BD45" i="179"/>
  <c r="FI85" i="179" s="1"/>
  <c r="BD26" i="180"/>
  <c r="FI66" i="180" s="1"/>
  <c r="AZ18" i="179"/>
  <c r="FH58" i="179" s="1"/>
  <c r="AZ26" i="179"/>
  <c r="FH66" i="179" s="1"/>
  <c r="AS41" i="179"/>
  <c r="EQ42" i="179"/>
  <c r="AR43" i="179"/>
  <c r="FF83" i="179" s="1"/>
  <c r="AV24" i="180"/>
  <c r="FG64" i="180" s="1"/>
  <c r="AR25" i="180"/>
  <c r="AZ40" i="180"/>
  <c r="FH80" i="180" s="1"/>
  <c r="AS27" i="179"/>
  <c r="AZ29" i="179"/>
  <c r="FH69" i="179" s="1"/>
  <c r="AS16" i="180"/>
  <c r="BW16" i="180" s="1"/>
  <c r="BX16" i="180" s="1"/>
  <c r="BD22" i="180"/>
  <c r="FI62" i="180" s="1"/>
  <c r="AZ23" i="180"/>
  <c r="FH63" i="180" s="1"/>
  <c r="AZ27" i="180"/>
  <c r="FH67" i="180" s="1"/>
  <c r="BD28" i="180"/>
  <c r="FI68" i="180" s="1"/>
  <c r="BA31" i="180"/>
  <c r="G33" i="180"/>
  <c r="AV37" i="180"/>
  <c r="FG77" i="180" s="1"/>
  <c r="AR38" i="180"/>
  <c r="FF78" i="180" s="1"/>
  <c r="G39" i="180"/>
  <c r="BE39" i="180"/>
  <c r="EE58" i="180"/>
  <c r="EG58" i="180" s="1"/>
  <c r="EQ38" i="180"/>
  <c r="BA17" i="179"/>
  <c r="AW21" i="179"/>
  <c r="AZ20" i="180"/>
  <c r="FH60" i="180" s="1"/>
  <c r="BD34" i="180"/>
  <c r="FI74" i="180" s="1"/>
  <c r="AV36" i="180"/>
  <c r="FG76" i="180" s="1"/>
  <c r="AZ44" i="180"/>
  <c r="FH84" i="180" s="1"/>
  <c r="BD20" i="179"/>
  <c r="FI60" i="179" s="1"/>
  <c r="EQ17" i="180"/>
  <c r="G35" i="180"/>
  <c r="EF79" i="180"/>
  <c r="BA32" i="179"/>
  <c r="BD44" i="180"/>
  <c r="FI84" i="180" s="1"/>
  <c r="H31" i="180"/>
  <c r="BD40" i="180"/>
  <c r="FI80" i="180" s="1"/>
  <c r="BD45" i="180"/>
  <c r="FI85" i="180" s="1"/>
  <c r="AR23" i="179"/>
  <c r="FF63" i="179" s="1"/>
  <c r="BE26" i="179"/>
  <c r="AR33" i="179"/>
  <c r="FF73" i="179" s="1"/>
  <c r="AW39" i="179"/>
  <c r="AR22" i="180"/>
  <c r="FF62" i="180" s="1"/>
  <c r="BD27" i="180"/>
  <c r="FI67" i="180" s="1"/>
  <c r="AR30" i="180"/>
  <c r="FF70" i="180" s="1"/>
  <c r="G45" i="180"/>
  <c r="EF66" i="180"/>
  <c r="AV27" i="179"/>
  <c r="FG67" i="179" s="1"/>
  <c r="EV76" i="179"/>
  <c r="AV15" i="179"/>
  <c r="FG55" i="179" s="1"/>
  <c r="AR40" i="179"/>
  <c r="FF80" i="179" s="1"/>
  <c r="I44" i="179"/>
  <c r="BS44" i="179" s="1"/>
  <c r="AR14" i="180"/>
  <c r="FF54" i="180" s="1"/>
  <c r="BD15" i="180"/>
  <c r="FI55" i="180" s="1"/>
  <c r="AS38" i="179"/>
  <c r="AZ31" i="179"/>
  <c r="FH71" i="179" s="1"/>
  <c r="AV14" i="180"/>
  <c r="FG54" i="180" s="1"/>
  <c r="BD19" i="180"/>
  <c r="FI59" i="180" s="1"/>
  <c r="AZ29" i="180"/>
  <c r="FH69" i="180" s="1"/>
  <c r="AR36" i="180"/>
  <c r="FF76" i="180" s="1"/>
  <c r="AV14" i="179"/>
  <c r="FG54" i="179" s="1"/>
  <c r="AZ16" i="179"/>
  <c r="FH56" i="179" s="1"/>
  <c r="BE34" i="179"/>
  <c r="BA44" i="179"/>
  <c r="AZ30" i="180"/>
  <c r="FH70" i="180" s="1"/>
  <c r="AV31" i="180"/>
  <c r="FG71" i="180" s="1"/>
  <c r="EQ34" i="180"/>
  <c r="AZ39" i="180"/>
  <c r="FH79" i="180" s="1"/>
  <c r="AV45" i="180"/>
  <c r="FG85" i="180" s="1"/>
  <c r="EE74" i="180"/>
  <c r="EG74" i="180" s="1"/>
  <c r="DL74" i="180" s="1"/>
  <c r="AD23" i="182"/>
  <c r="AD37" i="184"/>
  <c r="AD21" i="185"/>
  <c r="BW29" i="179"/>
  <c r="BX29" i="179" s="1"/>
  <c r="FB29" i="179" s="1"/>
  <c r="FA29" i="179" s="1"/>
  <c r="EF85" i="179"/>
  <c r="EQ35" i="180"/>
  <c r="EF75" i="180"/>
  <c r="BD42" i="179"/>
  <c r="FI82" i="179" s="1"/>
  <c r="EF71" i="180"/>
  <c r="EQ36" i="179"/>
  <c r="BD39" i="179"/>
  <c r="FI79" i="179" s="1"/>
  <c r="EE69" i="179"/>
  <c r="EG69" i="179" s="1"/>
  <c r="DL69" i="179" s="1"/>
  <c r="DM69" i="179" s="1"/>
  <c r="AV18" i="179"/>
  <c r="FG58" i="179" s="1"/>
  <c r="BD36" i="179"/>
  <c r="FI76" i="179" s="1"/>
  <c r="EF83" i="179"/>
  <c r="EV85" i="179"/>
  <c r="AV18" i="180"/>
  <c r="FG58" i="180" s="1"/>
  <c r="EE78" i="180"/>
  <c r="EG78" i="180" s="1"/>
  <c r="DL78" i="180" s="1"/>
  <c r="DL75" i="180"/>
  <c r="DM75" i="180" s="1"/>
  <c r="DQ75" i="180" s="1"/>
  <c r="AR16" i="179"/>
  <c r="FF56" i="179" s="1"/>
  <c r="AR39" i="179"/>
  <c r="FF79" i="179" s="1"/>
  <c r="G44" i="179"/>
  <c r="EQ28" i="180"/>
  <c r="EV84" i="180"/>
  <c r="BD32" i="179"/>
  <c r="FI72" i="179" s="1"/>
  <c r="EV82" i="179"/>
  <c r="AZ17" i="180"/>
  <c r="FH57" i="180" s="1"/>
  <c r="EF77" i="180"/>
  <c r="EV60" i="180"/>
  <c r="EE69" i="180"/>
  <c r="EG69" i="180" s="1"/>
  <c r="AZ27" i="179"/>
  <c r="FH67" i="179" s="1"/>
  <c r="AR28" i="179"/>
  <c r="FF68" i="179" s="1"/>
  <c r="AV30" i="179"/>
  <c r="FG70" i="179" s="1"/>
  <c r="BD31" i="179"/>
  <c r="FI71" i="179" s="1"/>
  <c r="BD35" i="179"/>
  <c r="FI75" i="179" s="1"/>
  <c r="EQ35" i="179"/>
  <c r="BD40" i="179"/>
  <c r="FI80" i="179" s="1"/>
  <c r="EQ26" i="180"/>
  <c r="AZ21" i="179"/>
  <c r="FH61" i="179" s="1"/>
  <c r="EE76" i="180"/>
  <c r="EG76" i="180" s="1"/>
  <c r="DL76" i="180" s="1"/>
  <c r="BD15" i="179"/>
  <c r="FI55" i="179" s="1"/>
  <c r="AV22" i="179"/>
  <c r="FG62" i="179" s="1"/>
  <c r="AZ24" i="179"/>
  <c r="FH64" i="179" s="1"/>
  <c r="AV33" i="179"/>
  <c r="FG73" i="179" s="1"/>
  <c r="BD37" i="179"/>
  <c r="FI77" i="179" s="1"/>
  <c r="AZ42" i="179"/>
  <c r="FH82" i="179" s="1"/>
  <c r="EE70" i="179"/>
  <c r="EG70" i="179" s="1"/>
  <c r="DL70" i="179" s="1"/>
  <c r="EV74" i="179"/>
  <c r="EF75" i="179"/>
  <c r="BD23" i="179"/>
  <c r="FI63" i="179" s="1"/>
  <c r="AV28" i="179"/>
  <c r="FG68" i="179" s="1"/>
  <c r="EQ29" i="179"/>
  <c r="AR35" i="179"/>
  <c r="FF75" i="179" s="1"/>
  <c r="EE84" i="179"/>
  <c r="EG84" i="179" s="1"/>
  <c r="DL84" i="179" s="1"/>
  <c r="DM84" i="179" s="1"/>
  <c r="EE67" i="180"/>
  <c r="EG67" i="180" s="1"/>
  <c r="EV73" i="179"/>
  <c r="EV81" i="179"/>
  <c r="CZ83" i="179"/>
  <c r="EE60" i="180"/>
  <c r="EG60" i="180" s="1"/>
  <c r="DL60" i="180" s="1"/>
  <c r="DM71" i="180"/>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EZ81" i="179"/>
  <c r="AO25" i="176"/>
  <c r="P24" i="176"/>
  <c r="BY29" i="179"/>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DN62" i="180"/>
  <c r="DM62" i="180"/>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FH55" i="180"/>
  <c r="BW15" i="180"/>
  <c r="BX15" i="180" s="1"/>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FA69" i="179"/>
  <c r="EY69" i="179" s="1"/>
  <c r="EZ69" i="179"/>
  <c r="BT31" i="179"/>
  <c r="BZ33" i="179"/>
  <c r="BM34" i="179"/>
  <c r="BR34" i="179" s="1"/>
  <c r="FO34" i="179"/>
  <c r="FA75" i="179"/>
  <c r="EY75" i="179" s="1"/>
  <c r="EZ75" i="179"/>
  <c r="FA76" i="179"/>
  <c r="EY76" i="179" s="1"/>
  <c r="EZ76" i="179"/>
  <c r="AZ40" i="179"/>
  <c r="FH80" i="179" s="1"/>
  <c r="DN69" i="179"/>
  <c r="DN70" i="179"/>
  <c r="DM70"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EZ74" i="179"/>
  <c r="BV37" i="179"/>
  <c r="BV40" i="179"/>
  <c r="FO41" i="179"/>
  <c r="EN75" i="179"/>
  <c r="X35" i="179" s="1"/>
  <c r="EN78" i="179"/>
  <c r="X38" i="179" s="1"/>
  <c r="BM14" i="180"/>
  <c r="BO14" i="180"/>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EZ79" i="179"/>
  <c r="BK41" i="179"/>
  <c r="BK43" i="179"/>
  <c r="FF55" i="179"/>
  <c r="DF68" i="179"/>
  <c r="EH68" i="179"/>
  <c r="EJ68" i="179" s="1"/>
  <c r="DS68" i="179" s="1"/>
  <c r="EO69" i="179"/>
  <c r="FD69" i="179"/>
  <c r="CW69" i="179"/>
  <c r="CV69" i="179"/>
  <c r="DK69" i="179" s="1"/>
  <c r="DD70" i="179"/>
  <c r="DC70" i="179"/>
  <c r="DB70" i="179"/>
  <c r="DA70" i="179"/>
  <c r="CV70" i="179"/>
  <c r="DK70" i="179" s="1"/>
  <c r="EU70" i="179"/>
  <c r="DF71" i="179"/>
  <c r="DS74" i="179"/>
  <c r="DN75" i="179"/>
  <c r="DM75" i="179"/>
  <c r="DF75" i="179"/>
  <c r="EQ76" i="179"/>
  <c r="ER76" i="179" s="1"/>
  <c r="ES76" i="179" s="1"/>
  <c r="Y36" i="179" s="1"/>
  <c r="EQ77" i="179"/>
  <c r="ER77" i="179" s="1"/>
  <c r="ES77" i="179" s="1"/>
  <c r="Y37" i="179" s="1"/>
  <c r="EU85" i="179"/>
  <c r="BO24" i="180"/>
  <c r="BM24" i="180"/>
  <c r="GE38" i="180"/>
  <c r="GD38" i="180"/>
  <c r="GC38" i="180"/>
  <c r="GB38" i="180"/>
  <c r="GA38" i="180"/>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DU66" i="180"/>
  <c r="DT66" i="180"/>
  <c r="EA80" i="179"/>
  <c r="FC80" i="179"/>
  <c r="AC22" i="170"/>
  <c r="AC30" i="170"/>
  <c r="AC38" i="170"/>
  <c r="AE45" i="170"/>
  <c r="AC46" i="170"/>
  <c r="IW12" i="179"/>
  <c r="BZ22" i="179"/>
  <c r="HP26" i="179"/>
  <c r="BV28" i="179"/>
  <c r="BK30" i="179"/>
  <c r="BT34" i="179"/>
  <c r="BZ37" i="179"/>
  <c r="FO40" i="179"/>
  <c r="BO43" i="179"/>
  <c r="BR43" i="179" s="1"/>
  <c r="BO44" i="179"/>
  <c r="GI87" i="179"/>
  <c r="GJ87" i="179" s="1"/>
  <c r="DH68" i="179"/>
  <c r="EL71" i="179"/>
  <c r="EM71" i="179" s="1"/>
  <c r="EN71" i="179" s="1"/>
  <c r="X31" i="179" s="1"/>
  <c r="GE31" i="179" s="1"/>
  <c r="GL31" i="179" s="1"/>
  <c r="GM31" i="179" s="1"/>
  <c r="EA72" i="179"/>
  <c r="EU74" i="179"/>
  <c r="EQ75" i="179"/>
  <c r="ER75" i="179" s="1"/>
  <c r="ES75" i="179" s="1"/>
  <c r="Y35" i="179" s="1"/>
  <c r="DF80" i="179"/>
  <c r="EW62" i="180"/>
  <c r="DF62" i="180"/>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EZ83" i="179"/>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A81" i="179"/>
  <c r="EY81" i="179" s="1"/>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BM17" i="180"/>
  <c r="BR17" i="180" s="1"/>
  <c r="BO17" i="180"/>
  <c r="GE32" i="180"/>
  <c r="GD32" i="180"/>
  <c r="GC32" i="180"/>
  <c r="GB32" i="180"/>
  <c r="GA32" i="180"/>
  <c r="EZ32" i="180"/>
  <c r="EY32" i="180"/>
  <c r="FQ32" i="180"/>
  <c r="JA12" i="179"/>
  <c r="BZ28" i="179"/>
  <c r="FA70" i="179"/>
  <c r="EY70" i="179" s="1"/>
  <c r="EZ70" i="179"/>
  <c r="EV70" i="179"/>
  <c r="EU72" i="179"/>
  <c r="EW75" i="179"/>
  <c r="EN77" i="179"/>
  <c r="X37" i="179" s="1"/>
  <c r="GE37" i="179" s="1"/>
  <c r="GL37" i="179" s="1"/>
  <c r="GM37" i="179" s="1"/>
  <c r="CZ84" i="179"/>
  <c r="EF62" i="180"/>
  <c r="EQ70" i="179"/>
  <c r="ER70" i="179" s="1"/>
  <c r="ES70" i="179" s="1"/>
  <c r="Y30" i="179" s="1"/>
  <c r="DA75" i="179"/>
  <c r="EQ78" i="179"/>
  <c r="ER78" i="179" s="1"/>
  <c r="ES78" i="179" s="1"/>
  <c r="Y38" i="179" s="1"/>
  <c r="DF85" i="180"/>
  <c r="DF74" i="180"/>
  <c r="DF80" i="180"/>
  <c r="DF55" i="180"/>
  <c r="DF71" i="180"/>
  <c r="CZ58" i="180"/>
  <c r="DF79" i="180"/>
  <c r="DF67" i="180"/>
  <c r="CZ74" i="180"/>
  <c r="CZ67" i="180"/>
  <c r="FA64" i="180"/>
  <c r="EY64" i="180" s="1"/>
  <c r="EZ64" i="180"/>
  <c r="FA65" i="180"/>
  <c r="EY65" i="180" s="1"/>
  <c r="EZ65" i="180"/>
  <c r="FQ44" i="180"/>
  <c r="FQ28" i="180"/>
  <c r="FQ35" i="180"/>
  <c r="GF27" i="180"/>
  <c r="FQ31" i="180"/>
  <c r="FO27" i="180"/>
  <c r="FO37" i="180"/>
  <c r="FO44" i="180"/>
  <c r="EY27" i="180"/>
  <c r="FO40" i="180"/>
  <c r="FO38" i="180"/>
  <c r="FO36" i="180"/>
  <c r="FQ27" i="180"/>
  <c r="FO34" i="180"/>
  <c r="FO41" i="180"/>
  <c r="FO32" i="180"/>
  <c r="FO28" i="180"/>
  <c r="GE43" i="180"/>
  <c r="GD43" i="180"/>
  <c r="GC43" i="180"/>
  <c r="GB43" i="180"/>
  <c r="GA43" i="180"/>
  <c r="GL43" i="180" s="1"/>
  <c r="EN54" i="180"/>
  <c r="X14" i="180" s="1"/>
  <c r="GE14" i="180" s="1"/>
  <c r="GL14" i="180" s="1"/>
  <c r="GM14" i="180" s="1"/>
  <c r="DU56" i="180"/>
  <c r="DT56" i="180"/>
  <c r="DV62" i="180"/>
  <c r="DF63" i="180"/>
  <c r="DX67" i="180"/>
  <c r="DV67" i="180"/>
  <c r="DN74" i="180"/>
  <c r="DM74" i="180"/>
  <c r="DB75" i="179"/>
  <c r="EH75" i="179"/>
  <c r="EJ75" i="179" s="1"/>
  <c r="DS75" i="179" s="1"/>
  <c r="CZ76" i="179"/>
  <c r="DZ79" i="179"/>
  <c r="DF81" i="179"/>
  <c r="EH83" i="179"/>
  <c r="EJ83" i="179" s="1"/>
  <c r="DS83" i="179" s="1"/>
  <c r="JC12" i="180"/>
  <c r="IM12" i="180"/>
  <c r="HP12" i="180"/>
  <c r="IZ12" i="180"/>
  <c r="IC12" i="180"/>
  <c r="HM12" i="180"/>
  <c r="HL12" i="180"/>
  <c r="IL12" i="180"/>
  <c r="JE12" i="180"/>
  <c r="FA54" i="180"/>
  <c r="EY54" i="180" s="1"/>
  <c r="EZ54" i="180"/>
  <c r="BV15" i="180"/>
  <c r="FF24" i="180"/>
  <c r="FQ40" i="180"/>
  <c r="BZ41" i="180"/>
  <c r="EQ54" i="180"/>
  <c r="ER54" i="180" s="1"/>
  <c r="ES54" i="180" s="1"/>
  <c r="Y14" i="180" s="1"/>
  <c r="DB63" i="180"/>
  <c r="DA63" i="180"/>
  <c r="DD63" i="180"/>
  <c r="DC63" i="180"/>
  <c r="EV63" i="180" s="1"/>
  <c r="CV63" i="180"/>
  <c r="DK63" i="180" s="1"/>
  <c r="ES63" i="180"/>
  <c r="Y23" i="180" s="1"/>
  <c r="DU67" i="180"/>
  <c r="EN71" i="180"/>
  <c r="X31" i="180" s="1"/>
  <c r="CW70" i="179"/>
  <c r="EQ71" i="179"/>
  <c r="ER71" i="179" s="1"/>
  <c r="ES71" i="179" s="1"/>
  <c r="Y31" i="179" s="1"/>
  <c r="FC73" i="179"/>
  <c r="DC75" i="179"/>
  <c r="EV75" i="179" s="1"/>
  <c r="CW78" i="179"/>
  <c r="EQ79" i="179"/>
  <c r="ER79" i="179" s="1"/>
  <c r="ES79" i="179" s="1"/>
  <c r="Y39" i="179" s="1"/>
  <c r="GE39" i="179" s="1"/>
  <c r="GL39" i="179" s="1"/>
  <c r="GM39" i="179" s="1"/>
  <c r="FC81" i="179"/>
  <c r="EI83" i="179"/>
  <c r="HN12" i="180"/>
  <c r="IN12" i="180"/>
  <c r="JF12" i="180"/>
  <c r="BK22" i="180"/>
  <c r="BN28" i="180"/>
  <c r="BQ28" i="180"/>
  <c r="BP28" i="180"/>
  <c r="FO30" i="180"/>
  <c r="FO35" i="180"/>
  <c r="BJ35" i="180"/>
  <c r="GF35" i="180"/>
  <c r="FA75" i="180"/>
  <c r="EY75" i="180" s="1"/>
  <c r="EZ75" i="180"/>
  <c r="DU60" i="180"/>
  <c r="DT60" i="180"/>
  <c r="EN62" i="180"/>
  <c r="X22" i="180" s="1"/>
  <c r="GE22" i="180" s="1"/>
  <c r="GL22" i="180" s="1"/>
  <c r="GM22" i="180" s="1"/>
  <c r="DF65" i="180"/>
  <c r="DK74" i="180"/>
  <c r="E34" i="180"/>
  <c r="D34" i="180"/>
  <c r="GK34" i="180" s="1"/>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HO12" i="180"/>
  <c r="IO12" i="180"/>
  <c r="JG12" i="180"/>
  <c r="BR22" i="180"/>
  <c r="BT24" i="180"/>
  <c r="BR29" i="180"/>
  <c r="EQ40" i="180"/>
  <c r="GM43" i="180"/>
  <c r="EQ80" i="179"/>
  <c r="ER80" i="179" s="1"/>
  <c r="ES80" i="179" s="1"/>
  <c r="Y40" i="179" s="1"/>
  <c r="FE81" i="179"/>
  <c r="DG82" i="179"/>
  <c r="BK16" i="180"/>
  <c r="BK18" i="180"/>
  <c r="BK20" i="180"/>
  <c r="FO29" i="180"/>
  <c r="GE30" i="180"/>
  <c r="GD30" i="180"/>
  <c r="GC30" i="180"/>
  <c r="GA30" i="180"/>
  <c r="BR35" i="180"/>
  <c r="CZ55" i="180"/>
  <c r="FJ57" i="180"/>
  <c r="FK58" i="180"/>
  <c r="DN68" i="180"/>
  <c r="DM68" i="180"/>
  <c r="I38" i="180"/>
  <c r="BS38" i="180" s="1"/>
  <c r="H38" i="180"/>
  <c r="G38" i="180"/>
  <c r="CZ70" i="179"/>
  <c r="CV72" i="179"/>
  <c r="DK72" i="179" s="1"/>
  <c r="DH74" i="179"/>
  <c r="FD74" i="179"/>
  <c r="CZ78" i="179"/>
  <c r="CX79" i="179"/>
  <c r="DH82" i="179"/>
  <c r="FD82" i="179"/>
  <c r="DT84" i="179"/>
  <c r="DH85" i="179"/>
  <c r="BT25" i="180"/>
  <c r="BT20" i="180"/>
  <c r="BV19" i="180"/>
  <c r="BT18" i="180"/>
  <c r="BV26" i="180"/>
  <c r="BT19" i="180"/>
  <c r="BV23" i="180"/>
  <c r="BV17" i="180"/>
  <c r="HR12" i="180"/>
  <c r="IQ12" i="180"/>
  <c r="JI12" i="180"/>
  <c r="BT14" i="180"/>
  <c r="BZ15" i="180"/>
  <c r="BT17" i="180"/>
  <c r="BR18" i="180"/>
  <c r="BZ19" i="180"/>
  <c r="BR20" i="180"/>
  <c r="FG63" i="180"/>
  <c r="BV24" i="180"/>
  <c r="FQ29" i="180"/>
  <c r="FO33" i="180"/>
  <c r="FQ33" i="180"/>
  <c r="EN56" i="180"/>
  <c r="X16" i="180" s="1"/>
  <c r="GE16" i="180" s="1"/>
  <c r="GL16" i="180" s="1"/>
  <c r="GM16" i="180" s="1"/>
  <c r="CZ57" i="180"/>
  <c r="CZ59" i="180"/>
  <c r="EN78" i="180"/>
  <c r="X38" i="180" s="1"/>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HS12" i="180"/>
  <c r="IR12" i="180"/>
  <c r="JJ12" i="180"/>
  <c r="EQ16" i="180"/>
  <c r="BK21" i="180"/>
  <c r="EZ62" i="180"/>
  <c r="FA62" i="180"/>
  <c r="EY62" i="180" s="1"/>
  <c r="FF23" i="180"/>
  <c r="FO31" i="180"/>
  <c r="BR34" i="180"/>
  <c r="GE45" i="180"/>
  <c r="GD45" i="180"/>
  <c r="GC45" i="180"/>
  <c r="GB45" i="180"/>
  <c r="GA45" i="180"/>
  <c r="EN59" i="180"/>
  <c r="X19" i="180" s="1"/>
  <c r="EI65" i="180"/>
  <c r="EH65" i="180"/>
  <c r="EJ65" i="180" s="1"/>
  <c r="DS65" i="180" s="1"/>
  <c r="ES68" i="180"/>
  <c r="Y28" i="180" s="1"/>
  <c r="P43" i="180"/>
  <c r="O43" i="180"/>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HT12" i="180"/>
  <c r="IS12" i="180"/>
  <c r="JK12" i="180"/>
  <c r="BV14" i="180"/>
  <c r="FA56" i="180"/>
  <c r="EY56" i="180" s="1"/>
  <c r="EZ56" i="180"/>
  <c r="BW21" i="180"/>
  <c r="BX21" i="180" s="1"/>
  <c r="BT23" i="180"/>
  <c r="BZ24" i="180"/>
  <c r="BQ33" i="180"/>
  <c r="BP33" i="180"/>
  <c r="BO33" i="180"/>
  <c r="BN33" i="180"/>
  <c r="BM33" i="180"/>
  <c r="EI59" i="180"/>
  <c r="EH59" i="180"/>
  <c r="EJ59" i="180" s="1"/>
  <c r="DS59" i="180" s="1"/>
  <c r="DF59" i="180"/>
  <c r="DN77" i="180"/>
  <c r="DM77" i="180"/>
  <c r="DF77" i="180"/>
  <c r="DA71" i="179"/>
  <c r="EW71" i="179"/>
  <c r="EQ74" i="179"/>
  <c r="ER74" i="179" s="1"/>
  <c r="ES74" i="179" s="1"/>
  <c r="Y34" i="179" s="1"/>
  <c r="FE75" i="179"/>
  <c r="DG76" i="179"/>
  <c r="DA79" i="179"/>
  <c r="EW79" i="179"/>
  <c r="EE80" i="179"/>
  <c r="EG80" i="179" s="1"/>
  <c r="DL80" i="179" s="1"/>
  <c r="DI83" i="179"/>
  <c r="EW83" i="179" s="1"/>
  <c r="FE83" i="179"/>
  <c r="DG84" i="179"/>
  <c r="EO84" i="179"/>
  <c r="HU12" i="180"/>
  <c r="IT12" i="180"/>
  <c r="BW14" i="180"/>
  <c r="BX14" i="180" s="1"/>
  <c r="BK15" i="180"/>
  <c r="FA58" i="180"/>
  <c r="EY58" i="180" s="1"/>
  <c r="EZ58" i="180"/>
  <c r="FA60" i="180"/>
  <c r="EY60" i="180" s="1"/>
  <c r="EZ60" i="180"/>
  <c r="EZ27" i="180"/>
  <c r="FA70" i="180"/>
  <c r="EY70" i="180" s="1"/>
  <c r="EZ70" i="180"/>
  <c r="DN60" i="180"/>
  <c r="DM60" i="180"/>
  <c r="DN63" i="180"/>
  <c r="DM63" i="180"/>
  <c r="EN65" i="180"/>
  <c r="X25" i="180" s="1"/>
  <c r="DB71" i="179"/>
  <c r="EH71" i="179"/>
  <c r="EJ71" i="179" s="1"/>
  <c r="DS71" i="179" s="1"/>
  <c r="CZ72" i="179"/>
  <c r="DH76" i="179"/>
  <c r="DB79" i="179"/>
  <c r="EH79" i="179"/>
  <c r="EJ79" i="179" s="1"/>
  <c r="DS79" i="179" s="1"/>
  <c r="CZ80" i="179"/>
  <c r="CX81" i="179"/>
  <c r="DH84" i="179"/>
  <c r="EL85" i="179"/>
  <c r="EM85" i="179" s="1"/>
  <c r="EN85" i="179" s="1"/>
  <c r="X45" i="179" s="1"/>
  <c r="EW85" i="179"/>
  <c r="HV12" i="180"/>
  <c r="IU12" i="180"/>
  <c r="BW19" i="180"/>
  <c r="BX19" i="180" s="1"/>
  <c r="BT22" i="180"/>
  <c r="DN61" i="180"/>
  <c r="DM61" i="180"/>
  <c r="DU63" i="180"/>
  <c r="DT63" i="180"/>
  <c r="ES73" i="180"/>
  <c r="Y33" i="180" s="1"/>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HD12" i="180"/>
  <c r="HW12" i="180"/>
  <c r="IV12" i="180"/>
  <c r="BO15" i="180"/>
  <c r="BR15" i="180" s="1"/>
  <c r="BT16" i="180"/>
  <c r="BZ17" i="180"/>
  <c r="BV22" i="180"/>
  <c r="BW26" i="180"/>
  <c r="BX26" i="180" s="1"/>
  <c r="GE36" i="180"/>
  <c r="GD36" i="180"/>
  <c r="GC36" i="180"/>
  <c r="GB36" i="180"/>
  <c r="GA36" i="180"/>
  <c r="FQ37" i="180"/>
  <c r="FQ42" i="180"/>
  <c r="ES60" i="180"/>
  <c r="Y20" i="180" s="1"/>
  <c r="EN60" i="180"/>
  <c r="X20" i="180" s="1"/>
  <c r="GE20" i="180" s="1"/>
  <c r="GL20" i="180" s="1"/>
  <c r="GM20" i="180" s="1"/>
  <c r="DB72" i="179"/>
  <c r="CZ73" i="179"/>
  <c r="CX74" i="179"/>
  <c r="DJ76" i="179"/>
  <c r="DH77" i="179"/>
  <c r="CZ81" i="179"/>
  <c r="CX82" i="179"/>
  <c r="DJ84" i="179"/>
  <c r="Q4" i="180"/>
  <c r="AU4" i="180" s="1"/>
  <c r="HF12" i="180"/>
  <c r="HX12" i="180"/>
  <c r="IW12" i="180"/>
  <c r="BK19" i="180"/>
  <c r="BV20" i="180"/>
  <c r="BZ22" i="180"/>
  <c r="FA66" i="180"/>
  <c r="EY66" i="180" s="1"/>
  <c r="EZ66" i="180"/>
  <c r="BJ27" i="180"/>
  <c r="GE34" i="180"/>
  <c r="GD34" i="180"/>
  <c r="GC34" i="180"/>
  <c r="GB34" i="180"/>
  <c r="GA34" i="180"/>
  <c r="HS48" i="180"/>
  <c r="DS55" i="180"/>
  <c r="DN59" i="180"/>
  <c r="DM59" i="180"/>
  <c r="DG70" i="179"/>
  <c r="DC72" i="179"/>
  <c r="EV72" i="179" s="1"/>
  <c r="DA73" i="179"/>
  <c r="EE74" i="179"/>
  <c r="EG74" i="179" s="1"/>
  <c r="DL74" i="179" s="1"/>
  <c r="DI77" i="179"/>
  <c r="EW77" i="179" s="1"/>
  <c r="DA81" i="179"/>
  <c r="EE82" i="179"/>
  <c r="EG82" i="179" s="1"/>
  <c r="DL82" i="179" s="1"/>
  <c r="EH85" i="179"/>
  <c r="EJ85" i="179" s="1"/>
  <c r="DS85" i="179" s="1"/>
  <c r="HG12" i="180"/>
  <c r="HY12" i="180"/>
  <c r="IX12" i="180"/>
  <c r="BV16" i="180"/>
  <c r="BV18" i="180"/>
  <c r="BW25" i="180"/>
  <c r="BX25" i="180" s="1"/>
  <c r="FF65" i="180"/>
  <c r="FO42" i="180"/>
  <c r="DU58" i="180"/>
  <c r="DT58" i="180"/>
  <c r="DU80" i="180"/>
  <c r="DT80" i="180"/>
  <c r="DH70" i="179"/>
  <c r="FD70" i="179"/>
  <c r="DB73" i="179"/>
  <c r="EH73" i="179"/>
  <c r="EJ73" i="179" s="1"/>
  <c r="DS73" i="179" s="1"/>
  <c r="CZ74" i="179"/>
  <c r="CX75" i="179"/>
  <c r="FD78" i="179"/>
  <c r="DB81" i="179"/>
  <c r="EH81" i="179"/>
  <c r="EJ81" i="179" s="1"/>
  <c r="DS81" i="179" s="1"/>
  <c r="CZ82" i="179"/>
  <c r="CX83" i="179"/>
  <c r="BZ32" i="180"/>
  <c r="BK30" i="180"/>
  <c r="BK26" i="180"/>
  <c r="BZ39" i="180"/>
  <c r="BK37" i="180"/>
  <c r="BK44" i="180"/>
  <c r="BZ30" i="180"/>
  <c r="BK28" i="180"/>
  <c r="BZ26" i="180"/>
  <c r="BZ37" i="180"/>
  <c r="BK35" i="180"/>
  <c r="BZ21" i="180"/>
  <c r="BZ44" i="180"/>
  <c r="BK42" i="180"/>
  <c r="BZ28" i="180"/>
  <c r="BK23" i="180"/>
  <c r="BZ35" i="180"/>
  <c r="BK33" i="180"/>
  <c r="BZ42" i="180"/>
  <c r="BK40" i="180"/>
  <c r="BZ23" i="180"/>
  <c r="BZ14" i="180"/>
  <c r="BZ33" i="180"/>
  <c r="BK31" i="180"/>
  <c r="BZ40" i="180"/>
  <c r="BK38" i="180"/>
  <c r="BK45" i="180"/>
  <c r="BZ31" i="180"/>
  <c r="BK29" i="180"/>
  <c r="BK24" i="180"/>
  <c r="BZ38" i="180"/>
  <c r="BK36" i="180"/>
  <c r="BK43" i="180"/>
  <c r="BZ29" i="180"/>
  <c r="BZ45" i="180"/>
  <c r="BZ36" i="180"/>
  <c r="BK34" i="180"/>
  <c r="BZ43" i="180"/>
  <c r="BK41" i="180"/>
  <c r="BZ27" i="180"/>
  <c r="BZ25" i="180"/>
  <c r="BZ34" i="180"/>
  <c r="BK32" i="180"/>
  <c r="HH12" i="180"/>
  <c r="HZ12" i="180"/>
  <c r="IY12" i="180"/>
  <c r="BK25" i="180"/>
  <c r="GE31" i="180"/>
  <c r="GD31" i="180"/>
  <c r="GC31" i="180"/>
  <c r="GB31" i="180"/>
  <c r="GA31" i="180"/>
  <c r="IQ48" i="180"/>
  <c r="IA48" i="180"/>
  <c r="IN48" i="180"/>
  <c r="HX48" i="180"/>
  <c r="IJ48" i="180"/>
  <c r="HR48" i="180"/>
  <c r="II48" i="180"/>
  <c r="HQ48" i="180"/>
  <c r="IH48" i="180"/>
  <c r="IG48" i="180"/>
  <c r="IF48" i="180"/>
  <c r="IE48" i="180"/>
  <c r="ID48" i="180"/>
  <c r="IC48" i="180"/>
  <c r="IT48" i="180"/>
  <c r="IB48" i="180"/>
  <c r="IS48" i="180"/>
  <c r="HZ48" i="180"/>
  <c r="IR48" i="180"/>
  <c r="HY48" i="180"/>
  <c r="IP48" i="180"/>
  <c r="HW48" i="180"/>
  <c r="IO48" i="180"/>
  <c r="HV48" i="180"/>
  <c r="IM48" i="180"/>
  <c r="HU48" i="180"/>
  <c r="IL48" i="180"/>
  <c r="HT48" i="180"/>
  <c r="DN55" i="180"/>
  <c r="DM55" i="180"/>
  <c r="EN58" i="180"/>
  <c r="X18" i="180" s="1"/>
  <c r="GE18" i="180" s="1"/>
  <c r="GL18" i="180" s="1"/>
  <c r="GM18" i="180" s="1"/>
  <c r="ES59" i="180"/>
  <c r="Y19" i="180" s="1"/>
  <c r="FB61" i="180"/>
  <c r="DZ61" i="180"/>
  <c r="DU61" i="180"/>
  <c r="DT61" i="180"/>
  <c r="EN63" i="180"/>
  <c r="X23" i="180" s="1"/>
  <c r="GE23" i="180" s="1"/>
  <c r="GL23" i="180" s="1"/>
  <c r="GM23" i="180" s="1"/>
  <c r="EF64" i="180"/>
  <c r="EE64" i="180"/>
  <c r="EG64" i="180" s="1"/>
  <c r="DL64" i="180" s="1"/>
  <c r="DF64" i="180"/>
  <c r="EW64" i="180"/>
  <c r="EV66" i="180"/>
  <c r="CZ66" i="180"/>
  <c r="CZ68" i="180"/>
  <c r="CW84" i="179"/>
  <c r="M44" i="179" s="1"/>
  <c r="HI12" i="180"/>
  <c r="IA12" i="180"/>
  <c r="JA12" i="180"/>
  <c r="BK14" i="180"/>
  <c r="BK17" i="180"/>
  <c r="FA59" i="180"/>
  <c r="EY59" i="180" s="1"/>
  <c r="EZ59" i="180"/>
  <c r="BT21" i="180"/>
  <c r="BR25" i="180"/>
  <c r="BT26" i="180"/>
  <c r="BK39" i="180"/>
  <c r="ES56" i="180"/>
  <c r="Y16" i="180" s="1"/>
  <c r="DN57" i="180"/>
  <c r="DM57" i="180"/>
  <c r="DF57" i="180"/>
  <c r="EN57" i="180"/>
  <c r="X17" i="180" s="1"/>
  <c r="GE17" i="180" s="1"/>
  <c r="GL17" i="180" s="1"/>
  <c r="GM17" i="180" s="1"/>
  <c r="CZ60" i="180"/>
  <c r="ES64" i="180"/>
  <c r="Y24" i="180" s="1"/>
  <c r="GE24" i="180" s="1"/>
  <c r="GL24" i="180" s="1"/>
  <c r="GM24" i="180" s="1"/>
  <c r="EN66" i="180"/>
  <c r="X26" i="180" s="1"/>
  <c r="GE26" i="180" s="1"/>
  <c r="GL26" i="180" s="1"/>
  <c r="GM26" i="180" s="1"/>
  <c r="EN68" i="180"/>
  <c r="X28" i="180" s="1"/>
  <c r="FQ30" i="180"/>
  <c r="EY31" i="180"/>
  <c r="BO37" i="180"/>
  <c r="FO39" i="180"/>
  <c r="GD42" i="180"/>
  <c r="BP44" i="180"/>
  <c r="EV54" i="180"/>
  <c r="FC56" i="180"/>
  <c r="EW57" i="180"/>
  <c r="DF58" i="180"/>
  <c r="ET58" i="180"/>
  <c r="DJ59" i="180"/>
  <c r="DI59" i="180"/>
  <c r="EW59" i="180" s="1"/>
  <c r="DG59" i="180"/>
  <c r="DD62" i="180"/>
  <c r="DC62" i="180"/>
  <c r="EV62" i="180" s="1"/>
  <c r="DA62" i="180"/>
  <c r="EU63" i="180"/>
  <c r="DC64" i="180"/>
  <c r="EV64" i="180" s="1"/>
  <c r="DB64" i="180"/>
  <c r="DG65" i="180"/>
  <c r="DF68" i="180"/>
  <c r="EH68" i="180"/>
  <c r="EJ68" i="180" s="1"/>
  <c r="DS68" i="180" s="1"/>
  <c r="DQ71" i="180"/>
  <c r="DO71" i="180"/>
  <c r="EQ74" i="180"/>
  <c r="ER74" i="180" s="1"/>
  <c r="ES74" i="180" s="1"/>
  <c r="Y34" i="180" s="1"/>
  <c r="DD77" i="180"/>
  <c r="DC77" i="180"/>
  <c r="EV77" i="180" s="1"/>
  <c r="DB77" i="180"/>
  <c r="DA77" i="180"/>
  <c r="CV77" i="180"/>
  <c r="DN79" i="180"/>
  <c r="DM79" i="180"/>
  <c r="DF81" i="180"/>
  <c r="EN81" i="180"/>
  <c r="X41" i="180" s="1"/>
  <c r="FA61" i="180"/>
  <c r="EY61" i="180" s="1"/>
  <c r="BM32" i="180"/>
  <c r="GF33" i="180"/>
  <c r="BJ34" i="180"/>
  <c r="BP37" i="180"/>
  <c r="GB37" i="180"/>
  <c r="GL37" i="180" s="1"/>
  <c r="BN39" i="180"/>
  <c r="BR39" i="180" s="1"/>
  <c r="FQ39" i="180"/>
  <c r="EY40" i="180"/>
  <c r="GE42" i="180"/>
  <c r="BQ44" i="180"/>
  <c r="DB54" i="180"/>
  <c r="ET55" i="180"/>
  <c r="FL55" i="180"/>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EV56" i="180"/>
  <c r="FD56" i="180"/>
  <c r="DG58" i="180"/>
  <c r="EU58" i="180"/>
  <c r="DB60" i="180"/>
  <c r="FD63" i="180"/>
  <c r="EU64" i="180"/>
  <c r="EO64" i="180"/>
  <c r="DH65" i="180"/>
  <c r="DJ68" i="180"/>
  <c r="DI68" i="180"/>
  <c r="DH68" i="180"/>
  <c r="DG68" i="180"/>
  <c r="EU69" i="180"/>
  <c r="EU70" i="180"/>
  <c r="EN77" i="180"/>
  <c r="X37" i="180" s="1"/>
  <c r="EU80" i="180"/>
  <c r="AJ24" i="182"/>
  <c r="AQ24" i="182"/>
  <c r="AO24" i="182"/>
  <c r="AN24" i="182"/>
  <c r="AL24" i="182"/>
  <c r="AM24" i="182"/>
  <c r="GA39" i="180"/>
  <c r="GL39" i="180" s="1"/>
  <c r="GM39" i="180" s="1"/>
  <c r="EZ40" i="180"/>
  <c r="BM41" i="180"/>
  <c r="BJ43" i="180"/>
  <c r="EV55" i="180"/>
  <c r="EQ57" i="180"/>
  <c r="ER57" i="180" s="1"/>
  <c r="ES57" i="180" s="1"/>
  <c r="Y17" i="180" s="1"/>
  <c r="ET59" i="180"/>
  <c r="DH60" i="180"/>
  <c r="DG60" i="180"/>
  <c r="CZ61" i="180"/>
  <c r="ET65" i="180"/>
  <c r="CX65" i="180"/>
  <c r="EQ75" i="180"/>
  <c r="ER75" i="180" s="1"/>
  <c r="ES75" i="180" s="1"/>
  <c r="Y35" i="180" s="1"/>
  <c r="EN75" i="180"/>
  <c r="X35" i="180" s="1"/>
  <c r="EQ76" i="180"/>
  <c r="ER76" i="180" s="1"/>
  <c r="ES76" i="180" s="1"/>
  <c r="Y36" i="180" s="1"/>
  <c r="EU79" i="180"/>
  <c r="EN79" i="180"/>
  <c r="X39" i="180" s="1"/>
  <c r="EQ81" i="180"/>
  <c r="ER81" i="180" s="1"/>
  <c r="ES81" i="180" s="1"/>
  <c r="Y41" i="180" s="1"/>
  <c r="EA85" i="180"/>
  <c r="FC85" i="180"/>
  <c r="FA79" i="180"/>
  <c r="EY79" i="180" s="1"/>
  <c r="EZ79" i="180"/>
  <c r="GB39" i="180"/>
  <c r="BN41" i="180"/>
  <c r="FQ41" i="180"/>
  <c r="EU55" i="180"/>
  <c r="FO55" i="180"/>
  <c r="EZ57" i="180"/>
  <c r="EU59" i="180"/>
  <c r="CW62" i="180"/>
  <c r="DF66" i="180"/>
  <c r="EV68" i="180"/>
  <c r="EV72" i="180"/>
  <c r="EO76" i="180"/>
  <c r="FD76" i="180"/>
  <c r="CW76" i="180"/>
  <c r="M36" i="180" s="1"/>
  <c r="GE23" i="182"/>
  <c r="GL23" i="182" s="1"/>
  <c r="GM23" i="182" s="1"/>
  <c r="BM27" i="180"/>
  <c r="FA67" i="180" s="1"/>
  <c r="EY67" i="180" s="1"/>
  <c r="GF28" i="180"/>
  <c r="BP32" i="180"/>
  <c r="FQ34" i="180"/>
  <c r="EY35" i="180"/>
  <c r="GC39" i="180"/>
  <c r="BO41" i="180"/>
  <c r="GA41" i="180"/>
  <c r="EZ42" i="180"/>
  <c r="BM43" i="180"/>
  <c r="FO43" i="180"/>
  <c r="GF44" i="180"/>
  <c r="FQ45" i="180"/>
  <c r="BJ45" i="180"/>
  <c r="FO45" i="180"/>
  <c r="DF54" i="180"/>
  <c r="CV55" i="180"/>
  <c r="DK55" i="180" s="1"/>
  <c r="EF55" i="180"/>
  <c r="FP55" i="180"/>
  <c r="GA55" i="180" s="1"/>
  <c r="EO56" i="180"/>
  <c r="CW57" i="180"/>
  <c r="EH57" i="180"/>
  <c r="EJ57" i="180" s="1"/>
  <c r="DS57" i="180" s="1"/>
  <c r="DH59" i="180"/>
  <c r="EV59" i="180"/>
  <c r="ET66" i="180"/>
  <c r="CX66" i="180"/>
  <c r="FE66" i="180"/>
  <c r="DG66" i="180"/>
  <c r="EW68" i="180"/>
  <c r="BN27" i="180"/>
  <c r="BM36" i="180"/>
  <c r="BR36" i="180" s="1"/>
  <c r="BJ38" i="180"/>
  <c r="GD39" i="180"/>
  <c r="BP41" i="180"/>
  <c r="GB41" i="180"/>
  <c r="BN43" i="180"/>
  <c r="FQ43" i="180"/>
  <c r="CW55" i="180"/>
  <c r="FQ55" i="180"/>
  <c r="FY55" i="180" s="1"/>
  <c r="DF56" i="180"/>
  <c r="CV58" i="180"/>
  <c r="DK58" i="180" s="1"/>
  <c r="DF60" i="180"/>
  <c r="EA60" i="180"/>
  <c r="EQ61" i="180"/>
  <c r="ER61" i="180" s="1"/>
  <c r="ES61" i="180" s="1"/>
  <c r="Y21" i="180" s="1"/>
  <c r="DU62" i="180"/>
  <c r="CZ63" i="180"/>
  <c r="DA64" i="180"/>
  <c r="DH66" i="180"/>
  <c r="DN66" i="180"/>
  <c r="DM66" i="180"/>
  <c r="FC66" i="180"/>
  <c r="DL67" i="180"/>
  <c r="DR71" i="180"/>
  <c r="DP71" i="180"/>
  <c r="FA74" i="180"/>
  <c r="EY74" i="180" s="1"/>
  <c r="EZ74" i="180"/>
  <c r="FQ36" i="180"/>
  <c r="DZ54" i="180"/>
  <c r="CX55" i="180"/>
  <c r="FR55" i="180"/>
  <c r="FS56" i="180" s="1"/>
  <c r="FJ56" i="180"/>
  <c r="FC57" i="180"/>
  <c r="DL58" i="180"/>
  <c r="DI60" i="180"/>
  <c r="EW60" i="180" s="1"/>
  <c r="EU60" i="180"/>
  <c r="CZ62" i="180"/>
  <c r="EQ62" i="180"/>
  <c r="ER62" i="180" s="1"/>
  <c r="ES62" i="180" s="1"/>
  <c r="Y22" i="180" s="1"/>
  <c r="DD64" i="180"/>
  <c r="EF65" i="180"/>
  <c r="EE65" i="180"/>
  <c r="EG65" i="180" s="1"/>
  <c r="DL65" i="180" s="1"/>
  <c r="EW65" i="180"/>
  <c r="DJ66" i="180"/>
  <c r="CV67" i="180"/>
  <c r="DJ67" i="180"/>
  <c r="DI67" i="180"/>
  <c r="EW67" i="180" s="1"/>
  <c r="DH67" i="180"/>
  <c r="DG67" i="180"/>
  <c r="EN74" i="180"/>
  <c r="X34" i="180" s="1"/>
  <c r="EV80" i="180"/>
  <c r="DT84" i="180"/>
  <c r="DU84" i="180"/>
  <c r="EY30" i="180"/>
  <c r="EZ83" i="180"/>
  <c r="DF70" i="180"/>
  <c r="EW70" i="180"/>
  <c r="EU71" i="180"/>
  <c r="CV73" i="180"/>
  <c r="DJ73" i="180"/>
  <c r="DI73" i="180"/>
  <c r="DH73" i="180"/>
  <c r="DG73" i="180"/>
  <c r="CZ81" i="180"/>
  <c r="ET83" i="180"/>
  <c r="CX83" i="180"/>
  <c r="N43" i="180" s="1"/>
  <c r="FE83" i="180"/>
  <c r="EN85" i="180"/>
  <c r="X45" i="180" s="1"/>
  <c r="DV85" i="180"/>
  <c r="GA29" i="180"/>
  <c r="GL29" i="180" s="1"/>
  <c r="EZ30" i="180"/>
  <c r="BM31" i="180"/>
  <c r="BJ33" i="180"/>
  <c r="BN38" i="180"/>
  <c r="BR38" i="180" s="1"/>
  <c r="EY39" i="180"/>
  <c r="BP45"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CX58" i="180"/>
  <c r="EQ65" i="180"/>
  <c r="ER65" i="180" s="1"/>
  <c r="ES65" i="180" s="1"/>
  <c r="Y25" i="180" s="1"/>
  <c r="DF69" i="180"/>
  <c r="ET72" i="180"/>
  <c r="CX72" i="180"/>
  <c r="N32" i="180" s="1"/>
  <c r="FE72" i="180"/>
  <c r="EN76" i="180"/>
  <c r="X36" i="180" s="1"/>
  <c r="DU83" i="180"/>
  <c r="DT83" i="180"/>
  <c r="FA69" i="180"/>
  <c r="EY69" i="180" s="1"/>
  <c r="EZ69" i="180"/>
  <c r="GB29" i="180"/>
  <c r="BN31" i="180"/>
  <c r="EU54" i="180"/>
  <c r="DA55" i="180"/>
  <c r="EL55" i="180"/>
  <c r="EM55" i="180" s="1"/>
  <c r="EN55" i="180" s="1"/>
  <c r="X15" i="180" s="1"/>
  <c r="FU55" i="180"/>
  <c r="FT55" i="180" s="1"/>
  <c r="CV59" i="180"/>
  <c r="DK59" i="180" s="1"/>
  <c r="DZ62" i="180"/>
  <c r="CV65" i="180"/>
  <c r="DK65" i="180" s="1"/>
  <c r="CV66" i="180"/>
  <c r="DK66" i="180" s="1"/>
  <c r="EA67" i="180"/>
  <c r="FC67" i="180"/>
  <c r="EN67" i="180"/>
  <c r="X27" i="180" s="1"/>
  <c r="DD69" i="180"/>
  <c r="DC69" i="180"/>
  <c r="EV69" i="180" s="1"/>
  <c r="DB69" i="180"/>
  <c r="CV69" i="180"/>
  <c r="DF75" i="180"/>
  <c r="DF76" i="180"/>
  <c r="DN76" i="180"/>
  <c r="DM76" i="180"/>
  <c r="DU79" i="180"/>
  <c r="DT79" i="180"/>
  <c r="DT38" i="182"/>
  <c r="DZ39" i="182"/>
  <c r="DZ40" i="182"/>
  <c r="DT37" i="182"/>
  <c r="DT35" i="182"/>
  <c r="DT33" i="182"/>
  <c r="DT26" i="182"/>
  <c r="DZ29" i="182"/>
  <c r="DT28" i="182"/>
  <c r="GC29" i="180"/>
  <c r="BO31" i="180"/>
  <c r="FA78" i="180"/>
  <c r="EY78" i="180" s="1"/>
  <c r="EZ78" i="180"/>
  <c r="EY41" i="180"/>
  <c r="DC55" i="180"/>
  <c r="CW59" i="180"/>
  <c r="FB59" i="180"/>
  <c r="EA62" i="180"/>
  <c r="DG63" i="180"/>
  <c r="EQ66" i="180"/>
  <c r="ER66" i="180" s="1"/>
  <c r="ES66" i="180" s="1"/>
  <c r="Y26" i="180" s="1"/>
  <c r="ET67" i="180"/>
  <c r="EO68" i="180"/>
  <c r="FD68" i="180"/>
  <c r="CV68" i="180"/>
  <c r="EL69" i="180"/>
  <c r="EM69" i="180" s="1"/>
  <c r="EN69" i="180" s="1"/>
  <c r="X29" i="180" s="1"/>
  <c r="EH73" i="180"/>
  <c r="EJ73" i="180" s="1"/>
  <c r="DS73" i="180" s="1"/>
  <c r="EU74" i="180"/>
  <c r="EU66" i="180"/>
  <c r="EU73" i="180"/>
  <c r="EU65" i="180"/>
  <c r="EU78" i="180"/>
  <c r="EU76" i="180"/>
  <c r="EU68" i="180"/>
  <c r="EU75" i="180"/>
  <c r="GD29" i="180"/>
  <c r="BP31" i="180"/>
  <c r="EY34" i="180"/>
  <c r="BO40" i="180"/>
  <c r="FA80" i="180" s="1"/>
  <c r="EY80" i="180" s="1"/>
  <c r="GA40" i="180"/>
  <c r="EZ41" i="180"/>
  <c r="BM42" i="180"/>
  <c r="BR42" i="180" s="1"/>
  <c r="EE54" i="180"/>
  <c r="EG54" i="180" s="1"/>
  <c r="DL54" i="180" s="1"/>
  <c r="DD55" i="180"/>
  <c r="EE56" i="180"/>
  <c r="EG56" i="180" s="1"/>
  <c r="DL56" i="180" s="1"/>
  <c r="DA58" i="180"/>
  <c r="CX59" i="180"/>
  <c r="FD59" i="180"/>
  <c r="DF61" i="180"/>
  <c r="EW61" i="180"/>
  <c r="DH63" i="180"/>
  <c r="DB65" i="180"/>
  <c r="EU67" i="180"/>
  <c r="DZ68" i="180"/>
  <c r="FB68" i="180"/>
  <c r="FB70" i="180"/>
  <c r="DZ70" i="180"/>
  <c r="EE70" i="180"/>
  <c r="EG70" i="180" s="1"/>
  <c r="DL70" i="180" s="1"/>
  <c r="EN82" i="180"/>
  <c r="X42" i="180" s="1"/>
  <c r="EN83" i="180"/>
  <c r="X43" i="180" s="1"/>
  <c r="CM23" i="182"/>
  <c r="GB40" i="180"/>
  <c r="BN42" i="180"/>
  <c r="EY43" i="180"/>
  <c r="EY45" i="180"/>
  <c r="CV54" i="180"/>
  <c r="DK54" i="180" s="1"/>
  <c r="ET57" i="180"/>
  <c r="CX57" i="180"/>
  <c r="DB58" i="180"/>
  <c r="CW60" i="180"/>
  <c r="FD64" i="180"/>
  <c r="DC65" i="180"/>
  <c r="EV65" i="180" s="1"/>
  <c r="EW72" i="180"/>
  <c r="EA81" i="180"/>
  <c r="CZ85" i="180"/>
  <c r="EG25" i="182"/>
  <c r="EK25" i="182" s="1"/>
  <c r="EF25" i="182"/>
  <c r="EJ25" i="182" s="1"/>
  <c r="CH25" i="182" s="1"/>
  <c r="GA42" i="180"/>
  <c r="GL42" i="180" s="1"/>
  <c r="EZ43" i="180"/>
  <c r="BM44" i="180"/>
  <c r="BR44" i="180" s="1"/>
  <c r="EH54" i="180"/>
  <c r="EJ54" i="180" s="1"/>
  <c r="DS54" i="180" s="1"/>
  <c r="EL61" i="180"/>
  <c r="EM61" i="180" s="1"/>
  <c r="EN61" i="180" s="1"/>
  <c r="X21" i="180" s="1"/>
  <c r="GE21" i="180" s="1"/>
  <c r="GL21" i="180" s="1"/>
  <c r="GM21" i="180" s="1"/>
  <c r="EZ61" i="180"/>
  <c r="DD65" i="180"/>
  <c r="DL69" i="180"/>
  <c r="EW73" i="180"/>
  <c r="EN73" i="180"/>
  <c r="X33" i="180" s="1"/>
  <c r="EA79" i="180"/>
  <c r="FC79" i="180"/>
  <c r="EU82" i="180"/>
  <c r="FA63" i="180"/>
  <c r="EY63" i="180" s="1"/>
  <c r="EQ55" i="180"/>
  <c r="ER55" i="180" s="1"/>
  <c r="ES55" i="180" s="1"/>
  <c r="Y15" i="180" s="1"/>
  <c r="EU57" i="180"/>
  <c r="EW63" i="180"/>
  <c r="EF63" i="180"/>
  <c r="EZ63" i="180"/>
  <c r="EQ67" i="180"/>
  <c r="ER67" i="180" s="1"/>
  <c r="ES67" i="180" s="1"/>
  <c r="Y27" i="180" s="1"/>
  <c r="DS71" i="180"/>
  <c r="FC71" i="180"/>
  <c r="EU72" i="180"/>
  <c r="EQ72" i="180"/>
  <c r="ER72" i="180" s="1"/>
  <c r="ES72" i="180" s="1"/>
  <c r="Y32" i="180" s="1"/>
  <c r="EL72" i="180"/>
  <c r="EM72" i="180" s="1"/>
  <c r="EN72" i="180" s="1"/>
  <c r="X32" i="180" s="1"/>
  <c r="DF78" i="180"/>
  <c r="DN78" i="180"/>
  <c r="DM78" i="180"/>
  <c r="EQ82" i="180"/>
  <c r="ER82" i="180" s="1"/>
  <c r="ES82" i="180" s="1"/>
  <c r="Y42" i="180" s="1"/>
  <c r="DA74" i="180"/>
  <c r="EQ77" i="180"/>
  <c r="ER77" i="180" s="1"/>
  <c r="ES77" i="180" s="1"/>
  <c r="Y37" i="180" s="1"/>
  <c r="EO78" i="180"/>
  <c r="EU81" i="180"/>
  <c r="DN84" i="180"/>
  <c r="DM84" i="180"/>
  <c r="EW84" i="180"/>
  <c r="K23" i="182"/>
  <c r="J23" i="182"/>
  <c r="I23" i="182"/>
  <c r="AO26" i="182"/>
  <c r="AM26" i="182"/>
  <c r="AS26" i="182"/>
  <c r="AN26" i="182"/>
  <c r="AL26" i="182"/>
  <c r="AJ26" i="182"/>
  <c r="FD71" i="180"/>
  <c r="DF72" i="180"/>
  <c r="DB74" i="180"/>
  <c r="EH74" i="180"/>
  <c r="EJ74" i="180" s="1"/>
  <c r="DS74" i="180" s="1"/>
  <c r="CZ75" i="180"/>
  <c r="FD79" i="180"/>
  <c r="EL80" i="180"/>
  <c r="EM80" i="180" s="1"/>
  <c r="EN80" i="180" s="1"/>
  <c r="X40" i="180" s="1"/>
  <c r="DD84" i="180"/>
  <c r="DA84" i="180"/>
  <c r="CV84" i="180"/>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CW69" i="180"/>
  <c r="M29" i="180" s="1"/>
  <c r="EA70" i="180"/>
  <c r="EQ70" i="180"/>
  <c r="ER70" i="180" s="1"/>
  <c r="ES70" i="180" s="1"/>
  <c r="Y30" i="180" s="1"/>
  <c r="DC74" i="180"/>
  <c r="EV74" i="180" s="1"/>
  <c r="CW77" i="180"/>
  <c r="M37" i="180" s="1"/>
  <c r="EQ78" i="180"/>
  <c r="ER78" i="180" s="1"/>
  <c r="ES78" i="180" s="1"/>
  <c r="Y38" i="180" s="1"/>
  <c r="EW81" i="180"/>
  <c r="FB83" i="180"/>
  <c r="EU84" i="180"/>
  <c r="ET85" i="180"/>
  <c r="HM21" i="182"/>
  <c r="AO28" i="182"/>
  <c r="AN28" i="182"/>
  <c r="AM28" i="182"/>
  <c r="AL28" i="182"/>
  <c r="AJ28" i="182"/>
  <c r="DF73" i="180"/>
  <c r="EH75" i="180"/>
  <c r="EJ75" i="180" s="1"/>
  <c r="DS75" i="180" s="1"/>
  <c r="CZ76" i="180"/>
  <c r="CV78" i="180"/>
  <c r="DD81" i="180"/>
  <c r="DC81" i="180"/>
  <c r="EV81" i="180" s="1"/>
  <c r="EE81" i="180"/>
  <c r="EG81" i="180" s="1"/>
  <c r="DL81" i="180" s="1"/>
  <c r="EE82" i="180"/>
  <c r="EG82" i="180" s="1"/>
  <c r="DL82" i="180" s="1"/>
  <c r="EF83" i="180"/>
  <c r="EE83" i="180"/>
  <c r="EG83" i="180" s="1"/>
  <c r="DL83" i="180" s="1"/>
  <c r="EQ84" i="180"/>
  <c r="ER84" i="180" s="1"/>
  <c r="ES84" i="180" s="1"/>
  <c r="Y44" i="180" s="1"/>
  <c r="HO21" i="182"/>
  <c r="DT24" i="182"/>
  <c r="EQ71" i="180"/>
  <c r="ER71" i="180" s="1"/>
  <c r="ES71" i="180" s="1"/>
  <c r="Y31" i="180" s="1"/>
  <c r="EO72" i="180"/>
  <c r="FC73" i="180"/>
  <c r="EI75" i="180"/>
  <c r="DA76" i="180"/>
  <c r="EU77" i="180"/>
  <c r="EQ79" i="180"/>
  <c r="ER79" i="180" s="1"/>
  <c r="ES79" i="180" s="1"/>
  <c r="Y39" i="180" s="1"/>
  <c r="EO80" i="180"/>
  <c r="FB81" i="180"/>
  <c r="FD83" i="180"/>
  <c r="CZ84" i="180"/>
  <c r="EU85" i="180"/>
  <c r="HP21" i="182"/>
  <c r="CL25" i="182"/>
  <c r="DZ25" i="182"/>
  <c r="CH28" i="182"/>
  <c r="DT30" i="182"/>
  <c r="FQ30" i="182"/>
  <c r="CZ69" i="180"/>
  <c r="CV71" i="180"/>
  <c r="EH76" i="180"/>
  <c r="EJ76" i="180" s="1"/>
  <c r="DS76" i="180" s="1"/>
  <c r="CZ77" i="180"/>
  <c r="EU83" i="180"/>
  <c r="CL27" i="182"/>
  <c r="DZ27" i="182"/>
  <c r="F29" i="182"/>
  <c r="AZ29" i="182" s="1"/>
  <c r="H29" i="182"/>
  <c r="AQ29" i="182" s="1"/>
  <c r="G29" i="182"/>
  <c r="AJ31" i="182"/>
  <c r="AO31" i="182"/>
  <c r="AN31" i="182"/>
  <c r="AM31" i="182"/>
  <c r="AL31" i="182"/>
  <c r="EQ80" i="180"/>
  <c r="ER80" i="180" s="1"/>
  <c r="ES80" i="180" s="1"/>
  <c r="Y40" i="180" s="1"/>
  <c r="DU81" i="180"/>
  <c r="DT81" i="180"/>
  <c r="FD81" i="180"/>
  <c r="DC82" i="180"/>
  <c r="EV82" i="180" s="1"/>
  <c r="DB82" i="180"/>
  <c r="DA82" i="180"/>
  <c r="DZ23" i="182"/>
  <c r="EV24" i="182"/>
  <c r="CJ24" i="182" s="1"/>
  <c r="FJ25" i="182"/>
  <c r="FK25" i="182" s="1"/>
  <c r="FL25" i="182" s="1"/>
  <c r="Z25" i="182" s="1"/>
  <c r="EN26" i="182"/>
  <c r="ER26" i="182" s="1"/>
  <c r="EM26" i="182"/>
  <c r="EQ26" i="182" s="1"/>
  <c r="CI26" i="182" s="1"/>
  <c r="CL29" i="182"/>
  <c r="EH69" i="180"/>
  <c r="EJ69" i="180" s="1"/>
  <c r="DS69" i="180" s="1"/>
  <c r="CZ70" i="180"/>
  <c r="CX71" i="180"/>
  <c r="N31" i="180" s="1"/>
  <c r="CV72" i="180"/>
  <c r="DH74" i="180"/>
  <c r="FB75" i="180"/>
  <c r="EH77" i="180"/>
  <c r="EJ77" i="180" s="1"/>
  <c r="DS77" i="180" s="1"/>
  <c r="CZ78" i="180"/>
  <c r="CX79" i="180"/>
  <c r="N39" i="180" s="1"/>
  <c r="CV80" i="180"/>
  <c r="CW83" i="180"/>
  <c r="M43" i="180" s="1"/>
  <c r="DW85" i="180"/>
  <c r="IA21" i="182"/>
  <c r="FH23" i="182"/>
  <c r="FU23" i="182"/>
  <c r="CL26" i="182"/>
  <c r="CM30" i="182"/>
  <c r="CZ54" i="180"/>
  <c r="DA70" i="180"/>
  <c r="DG75" i="180"/>
  <c r="FC75" i="180"/>
  <c r="DA78" i="180"/>
  <c r="EW78" i="180"/>
  <c r="CV82" i="180"/>
  <c r="DF84" i="180"/>
  <c r="IC21" i="182"/>
  <c r="AS25" i="182"/>
  <c r="FS29" i="182"/>
  <c r="ES29" i="182"/>
  <c r="FJ29" i="182"/>
  <c r="FK29" i="182" s="1"/>
  <c r="FL29" i="182" s="1"/>
  <c r="Z29" i="182" s="1"/>
  <c r="FE29" i="182"/>
  <c r="FF29" i="182" s="1"/>
  <c r="FG29" i="182" s="1"/>
  <c r="Y29" i="182" s="1"/>
  <c r="EN39" i="182"/>
  <c r="ER39" i="182" s="1"/>
  <c r="EM39" i="182"/>
  <c r="EQ39" i="182" s="1"/>
  <c r="EH70" i="180"/>
  <c r="EJ70" i="180" s="1"/>
  <c r="DS70" i="180" s="1"/>
  <c r="CZ71" i="180"/>
  <c r="EH78" i="180"/>
  <c r="EJ78" i="180" s="1"/>
  <c r="DS78" i="180" s="1"/>
  <c r="CZ79" i="180"/>
  <c r="DB83" i="180"/>
  <c r="DG84" i="180"/>
  <c r="EV85" i="180"/>
  <c r="IE21" i="182"/>
  <c r="AK23" i="182"/>
  <c r="EE23" i="182"/>
  <c r="EO67" i="180"/>
  <c r="FC68" i="180"/>
  <c r="DC70" i="180"/>
  <c r="EV70" i="180" s="1"/>
  <c r="DA71" i="180"/>
  <c r="EE72" i="180"/>
  <c r="EG72" i="180" s="1"/>
  <c r="DL72" i="180" s="1"/>
  <c r="DI75" i="180"/>
  <c r="EW75" i="180" s="1"/>
  <c r="EO75" i="180"/>
  <c r="DG76" i="180"/>
  <c r="FC76" i="180"/>
  <c r="DC78" i="180"/>
  <c r="EV78" i="180" s="1"/>
  <c r="DA79" i="180"/>
  <c r="EE80" i="180"/>
  <c r="EG80" i="180" s="1"/>
  <c r="DL80" i="180" s="1"/>
  <c r="DA81" i="180"/>
  <c r="CX82" i="180"/>
  <c r="N42" i="180" s="1"/>
  <c r="DC83" i="180"/>
  <c r="EV83" i="180" s="1"/>
  <c r="DH84" i="180"/>
  <c r="EF84" i="180"/>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CZ56" i="180"/>
  <c r="CZ64" i="180"/>
  <c r="DB71" i="180"/>
  <c r="CZ72" i="180"/>
  <c r="CX73" i="180"/>
  <c r="N33" i="180" s="1"/>
  <c r="DH76" i="180"/>
  <c r="DB79" i="180"/>
  <c r="CZ80" i="180"/>
  <c r="DB81" i="180"/>
  <c r="DD83" i="180"/>
  <c r="EQ83" i="180"/>
  <c r="ER83" i="180" s="1"/>
  <c r="ES83" i="180" s="1"/>
  <c r="Y43" i="180" s="1"/>
  <c r="DI84" i="180"/>
  <c r="FQ24" i="182"/>
  <c r="EY24" i="182"/>
  <c r="EX24" i="182"/>
  <c r="BQ24" i="182"/>
  <c r="EN24" i="182"/>
  <c r="ER24" i="182" s="1"/>
  <c r="EM24" i="182"/>
  <c r="J25" i="182"/>
  <c r="K25" i="182"/>
  <c r="I25" i="182"/>
  <c r="GM27" i="182"/>
  <c r="H28" i="182"/>
  <c r="AQ28" i="182" s="1"/>
  <c r="G28" i="182"/>
  <c r="F28" i="182"/>
  <c r="DC71" i="180"/>
  <c r="EV71" i="180" s="1"/>
  <c r="DA72" i="180"/>
  <c r="EE73" i="180"/>
  <c r="EG73" i="180" s="1"/>
  <c r="DL73" i="180" s="1"/>
  <c r="DI76" i="180"/>
  <c r="EW76" i="180" s="1"/>
  <c r="DC79" i="180"/>
  <c r="EV79" i="180" s="1"/>
  <c r="DA80" i="180"/>
  <c r="DD82" i="180"/>
  <c r="ET84" i="180"/>
  <c r="CX84" i="180"/>
  <c r="N44" i="180" s="1"/>
  <c r="DJ85" i="180"/>
  <c r="DI85" i="180"/>
  <c r="EW85" i="180" s="1"/>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EH64" i="180"/>
  <c r="EJ64" i="180" s="1"/>
  <c r="DS64" i="180" s="1"/>
  <c r="CZ65" i="180"/>
  <c r="FD69" i="180"/>
  <c r="DB72" i="180"/>
  <c r="EH72" i="180"/>
  <c r="EJ72" i="180" s="1"/>
  <c r="DS72" i="180" s="1"/>
  <c r="CZ73" i="180"/>
  <c r="FD77" i="180"/>
  <c r="DB80" i="180"/>
  <c r="DF83" i="180"/>
  <c r="FP24" i="182"/>
  <c r="DZ24" i="182"/>
  <c r="DF82" i="180"/>
  <c r="EL84" i="180"/>
  <c r="EM84" i="180" s="1"/>
  <c r="EN84" i="180" s="1"/>
  <c r="X44" i="180" s="1"/>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CZ82" i="180"/>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EQ85" i="180"/>
  <c r="ER85" i="180" s="1"/>
  <c r="ES85" i="180" s="1"/>
  <c r="Y45" i="180" s="1"/>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H82" i="180"/>
  <c r="EJ82" i="180" s="1"/>
  <c r="DS82" i="180" s="1"/>
  <c r="CZ83" i="180"/>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EE85" i="180"/>
  <c r="EG85" i="180" s="1"/>
  <c r="DL85" i="180"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P16" i="206" l="1"/>
  <c r="AO17" i="206"/>
  <c r="P16" i="205"/>
  <c r="AO17" i="205"/>
  <c r="P16" i="204"/>
  <c r="AO17" i="204"/>
  <c r="P16" i="203"/>
  <c r="AO17" i="203"/>
  <c r="P16" i="202"/>
  <c r="AO17" i="202"/>
  <c r="P16" i="201"/>
  <c r="AO17" i="201"/>
  <c r="P16" i="200"/>
  <c r="AO17" i="200"/>
  <c r="P16" i="199"/>
  <c r="AO17" i="199"/>
  <c r="P16" i="198"/>
  <c r="AO17" i="198"/>
  <c r="P16" i="197"/>
  <c r="AO17" i="197"/>
  <c r="P16" i="196"/>
  <c r="AO17" i="196"/>
  <c r="AO18" i="195"/>
  <c r="P17" i="195"/>
  <c r="P16" i="194"/>
  <c r="AO17" i="194"/>
  <c r="P16" i="193"/>
  <c r="AO17" i="193"/>
  <c r="P16" i="192"/>
  <c r="AO17" i="192"/>
  <c r="AO17" i="191"/>
  <c r="AO18" i="191" s="1"/>
  <c r="P16" i="190"/>
  <c r="AO17" i="190"/>
  <c r="P16" i="189"/>
  <c r="AO17" i="189"/>
  <c r="EZ55" i="180"/>
  <c r="EZ67" i="180"/>
  <c r="EZ76" i="180"/>
  <c r="FA76" i="180"/>
  <c r="EY76" i="180" s="1"/>
  <c r="BR28" i="180"/>
  <c r="BR37" i="180"/>
  <c r="EZ82" i="180"/>
  <c r="FA79" i="179"/>
  <c r="EY79" i="179" s="1"/>
  <c r="BR44" i="179"/>
  <c r="FA74" i="179"/>
  <c r="EY74" i="179" s="1"/>
  <c r="EN31" i="180"/>
  <c r="BW23" i="179"/>
  <c r="BX23" i="179" s="1"/>
  <c r="BW22" i="180"/>
  <c r="BX22" i="180" s="1"/>
  <c r="EX23" i="180" s="1"/>
  <c r="GK56" i="180"/>
  <c r="FB16" i="180"/>
  <c r="FA16" i="180" s="1"/>
  <c r="BY16" i="180"/>
  <c r="EZ16" i="180"/>
  <c r="GK69" i="179"/>
  <c r="DN75" i="180"/>
  <c r="DO75" i="180"/>
  <c r="BW23" i="180"/>
  <c r="BX23" i="180" s="1"/>
  <c r="DM77" i="179"/>
  <c r="BW24" i="180"/>
  <c r="BX24" i="180" s="1"/>
  <c r="EX25" i="180" s="1"/>
  <c r="BW31" i="179"/>
  <c r="BX31" i="179" s="1"/>
  <c r="BW14" i="179"/>
  <c r="BW30" i="179"/>
  <c r="BX30" i="179" s="1"/>
  <c r="EX30" i="179" s="1"/>
  <c r="EZ29" i="179"/>
  <c r="BW18" i="180"/>
  <c r="BX18" i="180" s="1"/>
  <c r="EX19" i="180" s="1"/>
  <c r="BW22" i="179"/>
  <c r="BX22" i="179" s="1"/>
  <c r="FB22" i="179" s="1"/>
  <c r="FA22" i="179" s="1"/>
  <c r="BW24" i="179"/>
  <c r="BX24" i="179" s="1"/>
  <c r="EX24" i="179" s="1"/>
  <c r="BW20" i="180"/>
  <c r="BX20" i="180" s="1"/>
  <c r="DN84" i="179"/>
  <c r="BW27" i="179"/>
  <c r="BX27" i="179" s="1"/>
  <c r="BW18" i="179"/>
  <c r="BX18" i="179" s="1"/>
  <c r="BW21" i="179"/>
  <c r="BX21" i="179" s="1"/>
  <c r="GK62" i="179"/>
  <c r="BW15" i="179"/>
  <c r="BX15" i="179" s="1"/>
  <c r="EX16" i="179" s="1"/>
  <c r="BW28" i="179"/>
  <c r="BX28" i="179" s="1"/>
  <c r="BW17" i="180"/>
  <c r="BX17" i="180"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DU78" i="180"/>
  <c r="DT78" i="180"/>
  <c r="AZ31" i="182"/>
  <c r="AU31" i="182"/>
  <c r="AP31" i="182"/>
  <c r="R27" i="180"/>
  <c r="Q27" i="180"/>
  <c r="BR43" i="180"/>
  <c r="R45" i="180"/>
  <c r="Q45" i="180"/>
  <c r="DQ79" i="180"/>
  <c r="DO79" i="180"/>
  <c r="FA82" i="180"/>
  <c r="EY82" i="180" s="1"/>
  <c r="DO55" i="180"/>
  <c r="DQ55" i="180"/>
  <c r="DN82" i="179"/>
  <c r="DM82" i="179"/>
  <c r="GK66" i="180"/>
  <c r="BY26" i="180"/>
  <c r="FB26" i="180"/>
  <c r="FA26" i="180" s="1"/>
  <c r="EZ26" i="180"/>
  <c r="EX26" i="180"/>
  <c r="DQ60" i="180"/>
  <c r="DO60" i="180"/>
  <c r="DR74" i="180"/>
  <c r="DP74" i="180"/>
  <c r="DX80" i="179"/>
  <c r="DV80" i="179"/>
  <c r="DR85" i="179"/>
  <c r="DP85" i="179"/>
  <c r="AO48" i="176"/>
  <c r="P48" i="176" s="1"/>
  <c r="P47" i="176"/>
  <c r="L26" i="178"/>
  <c r="N25" i="178"/>
  <c r="O25" i="178" s="1" a="1"/>
  <c r="O25" i="178" s="1"/>
  <c r="EL90" i="184"/>
  <c r="EJ90" i="184"/>
  <c r="CS31" i="184"/>
  <c r="DR31" i="184"/>
  <c r="DQ31" i="184"/>
  <c r="CR31" i="184"/>
  <c r="AT31" i="184"/>
  <c r="EU31" i="184"/>
  <c r="GE27" i="180"/>
  <c r="GD27" i="180"/>
  <c r="GC27" i="180"/>
  <c r="GB27" i="180"/>
  <c r="GA27" i="180"/>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L45" i="180"/>
  <c r="BU45" i="180" s="1"/>
  <c r="K45" i="180"/>
  <c r="J45" i="180"/>
  <c r="I41" i="180"/>
  <c r="BS41" i="180" s="1"/>
  <c r="H41" i="180"/>
  <c r="G41" i="180"/>
  <c r="CI25" i="182"/>
  <c r="DQ78" i="180"/>
  <c r="DO78" i="180"/>
  <c r="EV25" i="182"/>
  <c r="CJ25" i="182" s="1"/>
  <c r="EZ85" i="180"/>
  <c r="FA85" i="180"/>
  <c r="EY85" i="180" s="1"/>
  <c r="DN58" i="180"/>
  <c r="DM58" i="180"/>
  <c r="FZ55" i="180"/>
  <c r="GB55" i="180"/>
  <c r="BR41" i="180"/>
  <c r="DR79" i="180"/>
  <c r="DP79" i="180"/>
  <c r="DR55" i="180"/>
  <c r="DP55" i="180"/>
  <c r="DV58" i="180"/>
  <c r="DX58" i="180"/>
  <c r="L36" i="179"/>
  <c r="BU36" i="179" s="1"/>
  <c r="BV36" i="179" s="1"/>
  <c r="K36" i="179"/>
  <c r="J36" i="179"/>
  <c r="DP60" i="180"/>
  <c r="DR60" i="180"/>
  <c r="DY80" i="179"/>
  <c r="DW80" i="179"/>
  <c r="DQ70" i="179"/>
  <c r="DO70" i="179"/>
  <c r="DQ62" i="180"/>
  <c r="DO62" i="180"/>
  <c r="AZ16" i="185"/>
  <c r="AU16" i="185"/>
  <c r="AP16" i="185"/>
  <c r="AU42" i="184"/>
  <c r="AP42" i="184"/>
  <c r="AZ42" i="184"/>
  <c r="GK59" i="180"/>
  <c r="EZ19" i="180"/>
  <c r="BY19" i="180"/>
  <c r="FB19" i="180"/>
  <c r="FA19" i="180" s="1"/>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U70" i="180"/>
  <c r="DT70" i="180"/>
  <c r="DU77" i="180"/>
  <c r="DT77" i="180"/>
  <c r="DK78" i="180"/>
  <c r="E38" i="180"/>
  <c r="D38" i="180"/>
  <c r="GK38" i="180" s="1"/>
  <c r="DR78" i="180"/>
  <c r="DP78" i="180"/>
  <c r="L33" i="180"/>
  <c r="BU33" i="180" s="1"/>
  <c r="K33" i="180"/>
  <c r="J33" i="180"/>
  <c r="T31" i="180"/>
  <c r="S31" i="180"/>
  <c r="GL41" i="180"/>
  <c r="GM41" i="180" s="1"/>
  <c r="DK77" i="180"/>
  <c r="E37" i="180"/>
  <c r="D37" i="180"/>
  <c r="GK37" i="180" s="1"/>
  <c r="GM37" i="180" s="1"/>
  <c r="DY58" i="180"/>
  <c r="DW58" i="180"/>
  <c r="DN80" i="179"/>
  <c r="DM80" i="179"/>
  <c r="BY16" i="179"/>
  <c r="GK56" i="179"/>
  <c r="FB16" i="179"/>
  <c r="FA16" i="179" s="1"/>
  <c r="EZ16" i="179"/>
  <c r="DM76" i="179"/>
  <c r="DN76" i="179"/>
  <c r="DR70" i="179"/>
  <c r="DP70" i="179"/>
  <c r="GK63" i="179"/>
  <c r="FB23" i="179"/>
  <c r="FA23" i="179" s="1"/>
  <c r="EZ23" i="179"/>
  <c r="EX23" i="179"/>
  <c r="BY23" i="179"/>
  <c r="GK55" i="180"/>
  <c r="EX15" i="180"/>
  <c r="BY15" i="180"/>
  <c r="FB15" i="180"/>
  <c r="EZ15" i="180"/>
  <c r="DR62" i="180"/>
  <c r="DP62" i="180"/>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R41" i="180"/>
  <c r="Q41" i="180"/>
  <c r="DK73" i="180"/>
  <c r="E33" i="180"/>
  <c r="D33" i="180"/>
  <c r="GK33" i="180" s="1"/>
  <c r="DM67" i="180"/>
  <c r="DN67" i="180"/>
  <c r="DN74" i="179"/>
  <c r="DM74" i="179"/>
  <c r="BR33" i="180"/>
  <c r="DX60" i="180"/>
  <c r="EO20" i="180" s="1"/>
  <c r="DV60" i="180"/>
  <c r="BR24" i="180"/>
  <c r="DR69" i="179"/>
  <c r="EN29" i="179" s="1"/>
  <c r="DP69" i="179"/>
  <c r="EX16" i="180"/>
  <c r="DY69" i="179"/>
  <c r="DW69" i="179"/>
  <c r="P17" i="176"/>
  <c r="AO18" i="176"/>
  <c r="P18" i="176" s="1"/>
  <c r="D29" i="185"/>
  <c r="GK29" i="185" s="1"/>
  <c r="GM29" i="185" s="1"/>
  <c r="E29" i="185"/>
  <c r="CM38" i="184"/>
  <c r="EP38" i="184"/>
  <c r="EO38" i="184"/>
  <c r="E39" i="182"/>
  <c r="D39" i="182"/>
  <c r="GK39" i="182" s="1"/>
  <c r="P27" i="182"/>
  <c r="O27" i="182"/>
  <c r="N27" i="182"/>
  <c r="DY80" i="180"/>
  <c r="DW80" i="180"/>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DU72" i="180"/>
  <c r="DT72" i="180"/>
  <c r="I42" i="180"/>
  <c r="BS42" i="180" s="1"/>
  <c r="H42" i="180"/>
  <c r="G42" i="180"/>
  <c r="EO24" i="182"/>
  <c r="EQ24" i="182"/>
  <c r="CI24" i="182" s="1"/>
  <c r="DN72" i="180"/>
  <c r="DM72" i="180"/>
  <c r="DU75" i="180"/>
  <c r="DT75" i="180"/>
  <c r="DK84" i="180"/>
  <c r="E44" i="180"/>
  <c r="D44" i="180"/>
  <c r="GK44" i="180" s="1"/>
  <c r="R39" i="180"/>
  <c r="Q39" i="180"/>
  <c r="DR75" i="180"/>
  <c r="DP75" i="180"/>
  <c r="DX79" i="180"/>
  <c r="DV79" i="180"/>
  <c r="DU57" i="180"/>
  <c r="DT57" i="180"/>
  <c r="L28" i="180"/>
  <c r="BU28" i="180" s="1"/>
  <c r="K28" i="180"/>
  <c r="J28" i="180"/>
  <c r="DW60" i="180"/>
  <c r="DY60" i="180"/>
  <c r="DR84" i="179"/>
  <c r="DP84" i="179"/>
  <c r="GL44" i="179"/>
  <c r="GM44" i="179" s="1"/>
  <c r="E30" i="185"/>
  <c r="D30" i="185"/>
  <c r="GK30" i="185" s="1"/>
  <c r="CM36" i="183"/>
  <c r="AU28" i="183"/>
  <c r="AP28" i="183"/>
  <c r="H32" i="182"/>
  <c r="AQ32" i="182" s="1"/>
  <c r="G32" i="182"/>
  <c r="F32" i="182"/>
  <c r="DY83" i="180"/>
  <c r="DW83" i="180"/>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E32" i="180"/>
  <c r="D32" i="180"/>
  <c r="GK32" i="180" s="1"/>
  <c r="DK72" i="180"/>
  <c r="DM56" i="180"/>
  <c r="DN56" i="180"/>
  <c r="DY79" i="180"/>
  <c r="DW79" i="180"/>
  <c r="BR31" i="180"/>
  <c r="K27" i="180"/>
  <c r="J27" i="180"/>
  <c r="L27" i="180"/>
  <c r="BU27" i="180" s="1"/>
  <c r="FR56" i="180"/>
  <c r="FS57" i="180" s="1"/>
  <c r="FQ56" i="180"/>
  <c r="FY56" i="180" s="1"/>
  <c r="FP56" i="180"/>
  <c r="GA56" i="180" s="1"/>
  <c r="FO56" i="180"/>
  <c r="FN56" i="180"/>
  <c r="FW56" i="180" s="1"/>
  <c r="FV56" i="180" s="1"/>
  <c r="FU56" i="180"/>
  <c r="FT56" i="180" s="1"/>
  <c r="DO66" i="180"/>
  <c r="DQ66" i="180"/>
  <c r="DU81" i="179"/>
  <c r="DT81" i="179"/>
  <c r="BR40" i="180"/>
  <c r="DU65" i="180"/>
  <c r="DT65" i="180"/>
  <c r="DX56" i="180"/>
  <c r="EO16" i="180" s="1"/>
  <c r="DV56" i="180"/>
  <c r="DR68" i="179"/>
  <c r="DP68" i="179"/>
  <c r="BR14" i="180"/>
  <c r="GE43" i="179"/>
  <c r="GL43" i="179" s="1"/>
  <c r="GM43" i="179" s="1"/>
  <c r="P51" i="176"/>
  <c r="AO52" i="176"/>
  <c r="E35" i="185"/>
  <c r="D35" i="185"/>
  <c r="GK35" i="185" s="1"/>
  <c r="H22" i="184"/>
  <c r="AQ22" i="184" s="1"/>
  <c r="G22" i="184"/>
  <c r="F22" i="184"/>
  <c r="J24" i="184"/>
  <c r="I24" i="184"/>
  <c r="K24" i="184"/>
  <c r="K21" i="183"/>
  <c r="AS21" i="183" s="1"/>
  <c r="J21" i="183"/>
  <c r="I21" i="183"/>
  <c r="DO74" i="180"/>
  <c r="DQ74" i="180"/>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I44" i="180"/>
  <c r="BS44" i="180" s="1"/>
  <c r="H44" i="180"/>
  <c r="G44" i="180"/>
  <c r="DQ76" i="180"/>
  <c r="DO76" i="180"/>
  <c r="GE15" i="180"/>
  <c r="GL15" i="180" s="1"/>
  <c r="GM15" i="180" s="1"/>
  <c r="DK67" i="180"/>
  <c r="E27" i="180"/>
  <c r="D27" i="180"/>
  <c r="GK27" i="180" s="1"/>
  <c r="DR66" i="180"/>
  <c r="DP66" i="180"/>
  <c r="I37" i="180"/>
  <c r="BS37" i="180" s="1"/>
  <c r="H37" i="180"/>
  <c r="G37" i="180"/>
  <c r="DX63" i="180"/>
  <c r="DV63" i="180"/>
  <c r="FA73" i="180"/>
  <c r="EY73" i="180" s="1"/>
  <c r="EZ73" i="180"/>
  <c r="DN79" i="179"/>
  <c r="DM79" i="179"/>
  <c r="BR45" i="180"/>
  <c r="DY56" i="180"/>
  <c r="DW56" i="180"/>
  <c r="GE38" i="179"/>
  <c r="GL38" i="179" s="1"/>
  <c r="GM38" i="179" s="1"/>
  <c r="EN44" i="179"/>
  <c r="AO26" i="176"/>
  <c r="P26" i="176" s="1"/>
  <c r="P25" i="176"/>
  <c r="EJ81" i="185"/>
  <c r="DR22" i="185"/>
  <c r="AR22" i="185"/>
  <c r="CS22" i="185"/>
  <c r="CR22" i="185"/>
  <c r="AT22" i="185"/>
  <c r="EU22" i="185"/>
  <c r="ET22" i="185"/>
  <c r="ES22" i="185"/>
  <c r="DQ22" i="185"/>
  <c r="CM19" i="183"/>
  <c r="DR63" i="180"/>
  <c r="DP63" i="180"/>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DM85" i="180"/>
  <c r="DN85" i="180"/>
  <c r="EQ69" i="182"/>
  <c r="EO69" i="182"/>
  <c r="EP27" i="182"/>
  <c r="P29" i="182"/>
  <c r="O29" i="182"/>
  <c r="N29" i="182"/>
  <c r="DX81" i="180"/>
  <c r="EO41" i="180" s="1"/>
  <c r="DV81" i="180"/>
  <c r="R30" i="180"/>
  <c r="Q30" i="180"/>
  <c r="DM69" i="180"/>
  <c r="DN69" i="180"/>
  <c r="DN54" i="180"/>
  <c r="DM54" i="180"/>
  <c r="DR76" i="180"/>
  <c r="DP76" i="180"/>
  <c r="FA81" i="180"/>
  <c r="EY81" i="180" s="1"/>
  <c r="EZ81" i="180"/>
  <c r="FX55" i="180"/>
  <c r="DM64" i="180"/>
  <c r="DN64" i="180"/>
  <c r="DQ59" i="180"/>
  <c r="DO59" i="180"/>
  <c r="DY63" i="180"/>
  <c r="DW63" i="180"/>
  <c r="DU79" i="179"/>
  <c r="DT79" i="179"/>
  <c r="DO68" i="180"/>
  <c r="DQ68" i="180"/>
  <c r="FA84" i="179"/>
  <c r="EY84" i="179" s="1"/>
  <c r="EZ84" i="179"/>
  <c r="DO83" i="179"/>
  <c r="DQ83" i="179"/>
  <c r="GE35" i="179"/>
  <c r="GL35" i="179" s="1"/>
  <c r="GM35" i="179" s="1"/>
  <c r="GE41" i="179"/>
  <c r="GL41" i="179" s="1"/>
  <c r="GM41" i="179" s="1"/>
  <c r="CL17" i="184"/>
  <c r="DN81" i="180"/>
  <c r="DM81" i="180"/>
  <c r="DQ85" i="179"/>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DU64" i="180"/>
  <c r="DT64" i="180"/>
  <c r="DU69" i="180"/>
  <c r="DT69" i="180"/>
  <c r="DY81" i="180"/>
  <c r="DW81" i="180"/>
  <c r="EI27" i="182"/>
  <c r="DU71" i="180"/>
  <c r="DT71" i="180"/>
  <c r="DN70" i="180"/>
  <c r="DM70" i="180"/>
  <c r="DU73" i="180"/>
  <c r="DT73" i="180"/>
  <c r="DR59" i="180"/>
  <c r="DP59" i="180"/>
  <c r="FA55" i="180"/>
  <c r="EY55" i="180" s="1"/>
  <c r="DQ61" i="180"/>
  <c r="DO61" i="180"/>
  <c r="GK63" i="180"/>
  <c r="EZ23" i="180"/>
  <c r="BY23" i="180"/>
  <c r="FB23" i="180"/>
  <c r="FA23" i="180" s="1"/>
  <c r="DR68" i="180"/>
  <c r="DP68" i="180"/>
  <c r="GA35" i="180"/>
  <c r="GE35" i="180"/>
  <c r="GD35" i="180"/>
  <c r="GC35" i="180"/>
  <c r="GB35" i="180"/>
  <c r="DR83" i="179"/>
  <c r="DP83" i="179"/>
  <c r="EZ80" i="180"/>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DU82" i="180"/>
  <c r="DT82" i="180"/>
  <c r="DN73" i="180"/>
  <c r="DM73" i="180"/>
  <c r="EF23" i="182"/>
  <c r="EG23" i="182"/>
  <c r="P30" i="180"/>
  <c r="O30" i="180"/>
  <c r="DN65" i="180"/>
  <c r="DM65" i="180"/>
  <c r="FA72" i="180"/>
  <c r="EY72" i="180" s="1"/>
  <c r="EZ72" i="180"/>
  <c r="FA77" i="180"/>
  <c r="EY77" i="180" s="1"/>
  <c r="EZ77" i="180"/>
  <c r="GK65" i="180"/>
  <c r="BY25" i="180"/>
  <c r="FB25" i="180"/>
  <c r="FA25" i="180" s="1"/>
  <c r="EZ25" i="180"/>
  <c r="DU55" i="180"/>
  <c r="DT55" i="180"/>
  <c r="DR61" i="180"/>
  <c r="EC61" i="180" s="1"/>
  <c r="EP21" i="180" s="1"/>
  <c r="DP61" i="180"/>
  <c r="GE19" i="180"/>
  <c r="GL19" i="180" s="1"/>
  <c r="GM19" i="180" s="1"/>
  <c r="DN71" i="179"/>
  <c r="DM71" i="179"/>
  <c r="FJ58" i="180"/>
  <c r="FK59" i="180"/>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DU74" i="180"/>
  <c r="DT74" i="180"/>
  <c r="DQ84" i="180"/>
  <c r="DO84" i="180"/>
  <c r="GL40" i="180"/>
  <c r="D29" i="180"/>
  <c r="GK29" i="180" s="1"/>
  <c r="GM29" i="180" s="1"/>
  <c r="DK69" i="180"/>
  <c r="E29" i="180"/>
  <c r="FA83" i="180"/>
  <c r="EY83" i="180" s="1"/>
  <c r="DW62" i="180"/>
  <c r="DY62" i="180"/>
  <c r="EO22" i="180" s="1"/>
  <c r="GC28" i="180"/>
  <c r="GB28" i="180"/>
  <c r="GE28" i="180"/>
  <c r="GD28" i="180"/>
  <c r="GA28" i="180"/>
  <c r="AU24" i="182"/>
  <c r="EH24" i="182" s="1"/>
  <c r="AP24" i="182"/>
  <c r="DV61" i="180"/>
  <c r="DX61" i="180"/>
  <c r="EO21" i="180" s="1"/>
  <c r="DU73" i="179"/>
  <c r="DT73" i="179"/>
  <c r="GL36" i="180"/>
  <c r="GM36" i="180" s="1"/>
  <c r="DN81" i="179"/>
  <c r="DM81" i="179"/>
  <c r="DU78" i="179"/>
  <c r="DT78" i="179"/>
  <c r="GL45" i="180"/>
  <c r="GM45" i="180" s="1"/>
  <c r="DV66" i="180"/>
  <c r="DX66" i="180"/>
  <c r="DT68" i="179"/>
  <c r="DU68" i="179"/>
  <c r="DY77" i="179"/>
  <c r="DW77" i="179"/>
  <c r="AO16" i="177"/>
  <c r="P15" i="177"/>
  <c r="GE32" i="179"/>
  <c r="GL32" i="179" s="1"/>
  <c r="GM32" i="179" s="1"/>
  <c r="P35" i="176"/>
  <c r="AO36" i="176"/>
  <c r="DK80" i="180"/>
  <c r="E40" i="180"/>
  <c r="D40" i="180"/>
  <c r="GK40" i="180" s="1"/>
  <c r="DT59" i="180"/>
  <c r="DU59" i="180"/>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P84" i="180"/>
  <c r="DR84" i="180"/>
  <c r="DK68" i="180"/>
  <c r="E28" i="180"/>
  <c r="D28" i="180"/>
  <c r="GK28" i="180" s="1"/>
  <c r="BR27" i="180"/>
  <c r="GC33" i="180"/>
  <c r="GB33" i="180"/>
  <c r="GA33" i="180"/>
  <c r="GE33" i="180"/>
  <c r="GD33" i="180"/>
  <c r="DU68" i="180"/>
  <c r="DT68" i="180"/>
  <c r="DQ57" i="180"/>
  <c r="DO57" i="180"/>
  <c r="DY61" i="180"/>
  <c r="DW61" i="180"/>
  <c r="DU71" i="179"/>
  <c r="DT71" i="179"/>
  <c r="GK54" i="180"/>
  <c r="BY14" i="180"/>
  <c r="FB14" i="180"/>
  <c r="EZ14" i="180"/>
  <c r="EX14" i="180"/>
  <c r="DQ77" i="180"/>
  <c r="DO77" i="180"/>
  <c r="DX84" i="179"/>
  <c r="EO44" i="179" s="1"/>
  <c r="DV84" i="179"/>
  <c r="GL32" i="180"/>
  <c r="GK57" i="180"/>
  <c r="DY66" i="180"/>
  <c r="DW66" i="180"/>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H43" i="180"/>
  <c r="G43" i="180"/>
  <c r="I43" i="180"/>
  <c r="BS43" i="180" s="1"/>
  <c r="DK82" i="180"/>
  <c r="E42" i="180"/>
  <c r="D42" i="180"/>
  <c r="GK42" i="180" s="1"/>
  <c r="GM42" i="180" s="1"/>
  <c r="DN83" i="180"/>
  <c r="DM83" i="180"/>
  <c r="DU54" i="180"/>
  <c r="DT54" i="180"/>
  <c r="O28" i="180"/>
  <c r="P28" i="180"/>
  <c r="DY84" i="180"/>
  <c r="DW84" i="180"/>
  <c r="BR32" i="180"/>
  <c r="DR57" i="180"/>
  <c r="DP57" i="180"/>
  <c r="GL34" i="180"/>
  <c r="DR77" i="180"/>
  <c r="DP77" i="180"/>
  <c r="GK61" i="180"/>
  <c r="BY21" i="180"/>
  <c r="FB21" i="180"/>
  <c r="FA21" i="180" s="1"/>
  <c r="EZ21" i="180"/>
  <c r="EX21" i="180"/>
  <c r="FA68" i="180"/>
  <c r="EY68" i="180" s="1"/>
  <c r="EZ68" i="180"/>
  <c r="FA57" i="180"/>
  <c r="EY57" i="180" s="1"/>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DN80" i="180"/>
  <c r="DM80" i="180"/>
  <c r="DU76" i="180"/>
  <c r="DT76" i="180"/>
  <c r="FA71" i="180"/>
  <c r="EY71" i="180" s="1"/>
  <c r="EZ71" i="180"/>
  <c r="I29" i="180"/>
  <c r="BS29" i="180" s="1"/>
  <c r="H29" i="180"/>
  <c r="G29" i="180"/>
  <c r="DX84" i="180"/>
  <c r="EO44" i="180" s="1"/>
  <c r="DV84" i="180"/>
  <c r="EZ84" i="180"/>
  <c r="FA84" i="180"/>
  <c r="EY84" i="180" s="1"/>
  <c r="L44" i="179"/>
  <c r="BU44" i="179" s="1"/>
  <c r="K44" i="179"/>
  <c r="J44" i="179"/>
  <c r="GE25" i="180"/>
  <c r="GL25" i="180" s="1"/>
  <c r="GM25" i="180" s="1"/>
  <c r="GL30" i="180"/>
  <c r="GM30" i="180" s="1"/>
  <c r="DY67" i="180"/>
  <c r="DW67" i="180"/>
  <c r="DU75" i="179"/>
  <c r="DT75" i="179"/>
  <c r="DQ72" i="179"/>
  <c r="DO72" i="179"/>
  <c r="DU74" i="179"/>
  <c r="DT74" i="179"/>
  <c r="EZ85" i="179"/>
  <c r="DN73" i="179"/>
  <c r="DM73" i="179"/>
  <c r="DQ78" i="179"/>
  <c r="DO78"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DK71" i="180"/>
  <c r="D31" i="180"/>
  <c r="GK31" i="180" s="1"/>
  <c r="GM31" i="180" s="1"/>
  <c r="E31" i="180"/>
  <c r="DN82" i="180"/>
  <c r="DM82" i="180"/>
  <c r="EI31" i="182"/>
  <c r="AP26" i="182"/>
  <c r="AZ26" i="182"/>
  <c r="AU26" i="182"/>
  <c r="DX83" i="180"/>
  <c r="EO43" i="180" s="1"/>
  <c r="DV83" i="180"/>
  <c r="GE44" i="180"/>
  <c r="GD44" i="180"/>
  <c r="GC44" i="180"/>
  <c r="GB44" i="180"/>
  <c r="GA44" i="180"/>
  <c r="GL44" i="180" s="1"/>
  <c r="GL31" i="180"/>
  <c r="DX80" i="180"/>
  <c r="EO40" i="180" s="1"/>
  <c r="DV80" i="180"/>
  <c r="DQ63" i="180"/>
  <c r="DO63" i="180"/>
  <c r="L45" i="179"/>
  <c r="BU45" i="179" s="1"/>
  <c r="K45" i="179"/>
  <c r="J45" i="179"/>
  <c r="GM34" i="180"/>
  <c r="DR72" i="179"/>
  <c r="EC72" i="179" s="1"/>
  <c r="EP32" i="179" s="1"/>
  <c r="DP72" i="179"/>
  <c r="GL38" i="180"/>
  <c r="DX72" i="179"/>
  <c r="EO32" i="179" s="1"/>
  <c r="DV72" i="179"/>
  <c r="DR78" i="179"/>
  <c r="DP78" i="179"/>
  <c r="GD48" i="84"/>
  <c r="GC48" i="84"/>
  <c r="GB48" i="84"/>
  <c r="GA48" i="84"/>
  <c r="GD48" i="160"/>
  <c r="GC48" i="160"/>
  <c r="GB48" i="160"/>
  <c r="GA48" i="160"/>
  <c r="GD57" i="147"/>
  <c r="GC57" i="147"/>
  <c r="GB57" i="147"/>
  <c r="GA57" i="147"/>
  <c r="AO18" i="206" l="1"/>
  <c r="P17" i="206"/>
  <c r="AO18" i="205"/>
  <c r="P17" i="205"/>
  <c r="AO18" i="204"/>
  <c r="P17" i="204"/>
  <c r="AO18" i="203"/>
  <c r="P17" i="203"/>
  <c r="AO18" i="202"/>
  <c r="P17" i="202"/>
  <c r="AO18" i="201"/>
  <c r="P17" i="201"/>
  <c r="AO18" i="200"/>
  <c r="P17" i="200"/>
  <c r="AO18" i="199"/>
  <c r="P17" i="199"/>
  <c r="AO18" i="198"/>
  <c r="P17" i="198"/>
  <c r="AO18" i="197"/>
  <c r="P17" i="197"/>
  <c r="AO18" i="196"/>
  <c r="P17" i="196"/>
  <c r="AO19" i="195"/>
  <c r="P18" i="195"/>
  <c r="AO18" i="194"/>
  <c r="P17" i="194"/>
  <c r="AO18" i="193"/>
  <c r="P17" i="193"/>
  <c r="AO18" i="192"/>
  <c r="P17" i="192"/>
  <c r="P17" i="191"/>
  <c r="AO19" i="191"/>
  <c r="P18" i="191"/>
  <c r="P17" i="190"/>
  <c r="AO18" i="190"/>
  <c r="AO18" i="189"/>
  <c r="P17" i="189"/>
  <c r="EX22" i="179"/>
  <c r="EN45" i="179"/>
  <c r="GK61" i="179"/>
  <c r="EX24" i="180"/>
  <c r="EN34" i="180"/>
  <c r="EN23" i="180"/>
  <c r="GK62" i="180"/>
  <c r="EZ22" i="180"/>
  <c r="BY22" i="180"/>
  <c r="FB22" i="180"/>
  <c r="FA22" i="180" s="1"/>
  <c r="EX31" i="179"/>
  <c r="EX22" i="180"/>
  <c r="AD47" i="184"/>
  <c r="GK71" i="179"/>
  <c r="BY31" i="179"/>
  <c r="FB31" i="179"/>
  <c r="FA31" i="179" s="1"/>
  <c r="EZ31" i="179"/>
  <c r="GK64" i="180"/>
  <c r="FB24" i="180"/>
  <c r="FA24" i="180" s="1"/>
  <c r="BY24" i="180"/>
  <c r="EZ24" i="180"/>
  <c r="GK70" i="179"/>
  <c r="BY30" i="179"/>
  <c r="FB30" i="179"/>
  <c r="FA30" i="179" s="1"/>
  <c r="EZ30" i="179"/>
  <c r="BY18" i="180"/>
  <c r="GK58" i="180"/>
  <c r="FB18" i="180"/>
  <c r="FA18" i="180" s="1"/>
  <c r="EZ18" i="180"/>
  <c r="GK60" i="180"/>
  <c r="BY20" i="180"/>
  <c r="FB20" i="180"/>
  <c r="FA20" i="180" s="1"/>
  <c r="EZ20" i="180"/>
  <c r="EX20" i="180"/>
  <c r="EX25" i="179"/>
  <c r="FB24" i="179"/>
  <c r="FA24" i="179" s="1"/>
  <c r="EZ24" i="179"/>
  <c r="BY24" i="179"/>
  <c r="GK64" i="179"/>
  <c r="EZ22" i="179"/>
  <c r="BY22" i="179"/>
  <c r="P56" i="175"/>
  <c r="EX18" i="180"/>
  <c r="EZ17" i="180"/>
  <c r="BY17" i="180"/>
  <c r="FB17" i="180"/>
  <c r="FA17" i="180" s="1"/>
  <c r="EX17" i="180"/>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EN19" i="180"/>
  <c r="AD47" i="183"/>
  <c r="AD47" i="185"/>
  <c r="FP57" i="179"/>
  <c r="GA57" i="179" s="1"/>
  <c r="FO57" i="179"/>
  <c r="FZ56" i="179"/>
  <c r="FU57" i="179"/>
  <c r="FT57" i="179" s="1"/>
  <c r="FR57" i="179"/>
  <c r="FS58" i="179" s="1"/>
  <c r="FP58" i="179" s="1"/>
  <c r="GA58" i="179" s="1"/>
  <c r="AD47" i="182"/>
  <c r="FN57" i="179"/>
  <c r="FW57" i="179" s="1"/>
  <c r="FV57" i="179" s="1"/>
  <c r="FX56" i="179"/>
  <c r="AA15" i="182"/>
  <c r="FX56" i="180"/>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DY82" i="180"/>
  <c r="DW82" i="180"/>
  <c r="BY17" i="179"/>
  <c r="FB17" i="179"/>
  <c r="FA17" i="179" s="1"/>
  <c r="GK57" i="179"/>
  <c r="EZ17" i="179"/>
  <c r="EX17" i="179"/>
  <c r="EX18" i="179"/>
  <c r="GL35" i="180"/>
  <c r="GM35" i="180" s="1"/>
  <c r="DQ70" i="180"/>
  <c r="DO70" i="180"/>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DY57" i="180"/>
  <c r="EC57" i="180" s="1"/>
  <c r="EP17" i="180" s="1"/>
  <c r="DW57" i="180"/>
  <c r="EJ84" i="183"/>
  <c r="EL84" i="183" s="1"/>
  <c r="CS25" i="183"/>
  <c r="CR25" i="183"/>
  <c r="EU25" i="183"/>
  <c r="AR25" i="183"/>
  <c r="ET25" i="183"/>
  <c r="DR25" i="183"/>
  <c r="DQ25" i="183"/>
  <c r="AT25" i="183"/>
  <c r="EO25" i="183"/>
  <c r="EH25" i="183"/>
  <c r="EI25" i="183"/>
  <c r="ES25" i="183"/>
  <c r="EC62" i="180"/>
  <c r="EP22" i="180" s="1"/>
  <c r="EJ80" i="184"/>
  <c r="DR21" i="184"/>
  <c r="AR21" i="184"/>
  <c r="DQ21" i="184"/>
  <c r="CS21" i="184"/>
  <c r="EU21" i="184"/>
  <c r="ES21" i="184"/>
  <c r="CR21" i="184"/>
  <c r="AT21" i="184"/>
  <c r="EL80" i="184"/>
  <c r="EP21" i="184"/>
  <c r="ET21" i="184"/>
  <c r="EO21" i="184"/>
  <c r="W44" i="185"/>
  <c r="V44" i="185"/>
  <c r="EC55" i="180"/>
  <c r="EP15" i="180" s="1"/>
  <c r="W24" i="185"/>
  <c r="V24" i="185"/>
  <c r="AT24" i="185" s="1"/>
  <c r="GL27" i="180"/>
  <c r="DQ82" i="179"/>
  <c r="DO82" i="179"/>
  <c r="DV78" i="180"/>
  <c r="DX78" i="180"/>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N37" i="180"/>
  <c r="GL33" i="180"/>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DR70" i="180"/>
  <c r="DP70" i="180"/>
  <c r="EO23" i="184"/>
  <c r="DQ41" i="183"/>
  <c r="L41" i="183" s="1"/>
  <c r="EU41" i="183"/>
  <c r="EJ100" i="183"/>
  <c r="CS41" i="183"/>
  <c r="ET41" i="183"/>
  <c r="DR41" i="183"/>
  <c r="M41" i="183" s="1"/>
  <c r="ES41" i="183"/>
  <c r="EL100" i="183"/>
  <c r="EO41" i="183"/>
  <c r="CR41" i="183"/>
  <c r="EO23" i="180"/>
  <c r="EJ90" i="183"/>
  <c r="EL90" i="183" s="1"/>
  <c r="DR31" i="183"/>
  <c r="DQ31" i="183"/>
  <c r="EU31" i="183"/>
  <c r="CS31" i="183"/>
  <c r="CR31" i="183"/>
  <c r="AT31" i="183"/>
  <c r="AR31" i="183"/>
  <c r="ET31" i="183"/>
  <c r="ES31" i="183"/>
  <c r="EO31" i="183"/>
  <c r="EI31" i="183"/>
  <c r="EH31" i="183"/>
  <c r="EH43" i="184"/>
  <c r="CJ40" i="185"/>
  <c r="X40" i="185"/>
  <c r="GL24" i="185"/>
  <c r="DP82" i="179"/>
  <c r="DR82" i="179"/>
  <c r="DW78" i="180"/>
  <c r="DY78" i="180"/>
  <c r="EP35" i="184"/>
  <c r="U29" i="185"/>
  <c r="T29" i="185"/>
  <c r="AR29" i="185" s="1"/>
  <c r="T37" i="180"/>
  <c r="S37" i="180"/>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T28" i="180"/>
  <c r="S28" i="180"/>
  <c r="DX71" i="180"/>
  <c r="DV71" i="180"/>
  <c r="DR64" i="180"/>
  <c r="DP64" i="180"/>
  <c r="EU28" i="182"/>
  <c r="ES28" i="182"/>
  <c r="CS28" i="182"/>
  <c r="CR28" i="182"/>
  <c r="AT28" i="182"/>
  <c r="AR28" i="182"/>
  <c r="DR28" i="182"/>
  <c r="DQ28" i="182"/>
  <c r="EH28" i="182"/>
  <c r="EI28" i="182"/>
  <c r="ET28" i="182"/>
  <c r="AU35" i="183"/>
  <c r="AZ35" i="183"/>
  <c r="AP35" i="183"/>
  <c r="EO25" i="184"/>
  <c r="EO39" i="180"/>
  <c r="EJ88" i="183"/>
  <c r="EL88" i="183" s="1"/>
  <c r="CS29" i="183"/>
  <c r="AR29" i="183"/>
  <c r="DR29" i="183"/>
  <c r="DQ29" i="183"/>
  <c r="EU29" i="183"/>
  <c r="CR29" i="183"/>
  <c r="AT29" i="183"/>
  <c r="EI29" i="183"/>
  <c r="ES29" i="183"/>
  <c r="ET29" i="183"/>
  <c r="W39" i="182"/>
  <c r="V39" i="182"/>
  <c r="AT39" i="182" s="1"/>
  <c r="FA14" i="180"/>
  <c r="FA15" i="180"/>
  <c r="EO28" i="182"/>
  <c r="EC79" i="180"/>
  <c r="T39" i="180"/>
  <c r="S39" i="180"/>
  <c r="EP24" i="182"/>
  <c r="EN15" i="180"/>
  <c r="EJ92" i="185"/>
  <c r="DQ33" i="185"/>
  <c r="L33" i="185" s="1"/>
  <c r="EU33" i="185"/>
  <c r="DR33" i="185"/>
  <c r="M33" i="185" s="1"/>
  <c r="CR33" i="185"/>
  <c r="ES33" i="185"/>
  <c r="CS33" i="185"/>
  <c r="ET33" i="185"/>
  <c r="EL92" i="185"/>
  <c r="S18" i="183"/>
  <c r="R18" i="183"/>
  <c r="Q18" i="183"/>
  <c r="S26" i="183"/>
  <c r="R26" i="183"/>
  <c r="Q26" i="183"/>
  <c r="U25" i="185"/>
  <c r="T25" i="185"/>
  <c r="GM32" i="185"/>
  <c r="DX76" i="180"/>
  <c r="DV76" i="180"/>
  <c r="EJ79" i="183"/>
  <c r="AT20" i="183"/>
  <c r="DR20" i="183"/>
  <c r="AR20" i="183"/>
  <c r="DQ20" i="183"/>
  <c r="EU20" i="183"/>
  <c r="CS20" i="183"/>
  <c r="ES20" i="183"/>
  <c r="CR20" i="183"/>
  <c r="EO20" i="183"/>
  <c r="EL79" i="183"/>
  <c r="EP20" i="183"/>
  <c r="EI20" i="183"/>
  <c r="ET20" i="183"/>
  <c r="AR38" i="185"/>
  <c r="EN44" i="180"/>
  <c r="CJ41" i="183"/>
  <c r="X41" i="183"/>
  <c r="EI24" i="185"/>
  <c r="DX76" i="179"/>
  <c r="EO36" i="179" s="1"/>
  <c r="DV76" i="179"/>
  <c r="AU45" i="184"/>
  <c r="AZ45" i="184"/>
  <c r="AP45" i="184"/>
  <c r="DY71" i="180"/>
  <c r="DW71" i="180"/>
  <c r="DO64" i="180"/>
  <c r="DQ64" i="180"/>
  <c r="EO17" i="184"/>
  <c r="DX65" i="180"/>
  <c r="DV65" i="180"/>
  <c r="EO36" i="183"/>
  <c r="DX72" i="180"/>
  <c r="DV72" i="180"/>
  <c r="V40" i="180"/>
  <c r="U40" i="180"/>
  <c r="P40" i="182"/>
  <c r="O40" i="182"/>
  <c r="N40" i="182"/>
  <c r="V42" i="184"/>
  <c r="AT42" i="184" s="1"/>
  <c r="W42" i="184"/>
  <c r="CH40" i="185"/>
  <c r="EP28" i="182"/>
  <c r="AU57" i="183"/>
  <c r="AP57" i="183"/>
  <c r="AZ57" i="183" s="1"/>
  <c r="EN22" i="180"/>
  <c r="EH30" i="184"/>
  <c r="AU40" i="185"/>
  <c r="AZ40" i="185"/>
  <c r="AP40" i="185"/>
  <c r="AZ31" i="185"/>
  <c r="AU31" i="185"/>
  <c r="AP31" i="185"/>
  <c r="AS45" i="185"/>
  <c r="AQ45" i="185"/>
  <c r="AO45" i="185"/>
  <c r="AN45" i="185"/>
  <c r="AM45" i="185"/>
  <c r="AL45" i="185"/>
  <c r="AJ45" i="185"/>
  <c r="V27" i="180"/>
  <c r="U27" i="180"/>
  <c r="DY76" i="180"/>
  <c r="DW76" i="180"/>
  <c r="CS24" i="182"/>
  <c r="CR24" i="182"/>
  <c r="AT24" i="182"/>
  <c r="DR24" i="182"/>
  <c r="AR24" i="182"/>
  <c r="DQ24" i="182"/>
  <c r="EU24" i="182"/>
  <c r="ET24" i="182"/>
  <c r="ES24" i="182"/>
  <c r="DX74" i="180"/>
  <c r="DV74" i="180"/>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DY65" i="180"/>
  <c r="DW65" i="180"/>
  <c r="AP33" i="183"/>
  <c r="AZ33" i="183"/>
  <c r="AU33" i="183"/>
  <c r="EQ35" i="183"/>
  <c r="CI35" i="183" s="1"/>
  <c r="EO35" i="183"/>
  <c r="EO18" i="185"/>
  <c r="GM40" i="185"/>
  <c r="T35" i="180"/>
  <c r="S35" i="180"/>
  <c r="DY72" i="180"/>
  <c r="DW72" i="180"/>
  <c r="EP24" i="183"/>
  <c r="EC69" i="179"/>
  <c r="EP29" i="179" s="1"/>
  <c r="R40" i="182"/>
  <c r="Q40" i="182"/>
  <c r="S40" i="182"/>
  <c r="EO27" i="180"/>
  <c r="EC78" i="180"/>
  <c r="T38" i="180"/>
  <c r="S38" i="180"/>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DY74" i="180"/>
  <c r="DW74" i="180"/>
  <c r="W32" i="185"/>
  <c r="V32" i="185"/>
  <c r="FK60" i="180"/>
  <c r="FJ59" i="180"/>
  <c r="CJ39" i="182"/>
  <c r="X39" i="182"/>
  <c r="EL87" i="184"/>
  <c r="EJ87" i="184"/>
  <c r="DR28" i="184"/>
  <c r="DQ28" i="184"/>
  <c r="EU28" i="184"/>
  <c r="CS28" i="184"/>
  <c r="CR28" i="184"/>
  <c r="ES28" i="184"/>
  <c r="AT28" i="184"/>
  <c r="AR28" i="184"/>
  <c r="EP28" i="184"/>
  <c r="EH28" i="184"/>
  <c r="EO28" i="184"/>
  <c r="ET28" i="184"/>
  <c r="EN43" i="179"/>
  <c r="EI39" i="183"/>
  <c r="EI24" i="182"/>
  <c r="V39" i="180"/>
  <c r="U39" i="180"/>
  <c r="BV39" i="180" s="1"/>
  <c r="ER35" i="183"/>
  <c r="EV35" i="183" s="1"/>
  <c r="CJ35" i="183" s="1"/>
  <c r="EP35" i="183"/>
  <c r="GM30" i="185"/>
  <c r="AZ40" i="183"/>
  <c r="AP40" i="183"/>
  <c r="AU40" i="183"/>
  <c r="DQ80" i="179"/>
  <c r="DO80" i="179"/>
  <c r="GM38" i="180"/>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DQ80" i="180"/>
  <c r="DO80" i="180"/>
  <c r="FK58" i="179"/>
  <c r="FJ57" i="179"/>
  <c r="EJ29" i="182"/>
  <c r="CH29" i="182" s="1"/>
  <c r="EH29" i="182"/>
  <c r="DR80" i="180"/>
  <c r="DP80" i="180"/>
  <c r="DV68" i="179"/>
  <c r="DX68" i="179"/>
  <c r="GL28" i="180"/>
  <c r="GM28" i="180" s="1"/>
  <c r="V27" i="185"/>
  <c r="W27" i="185"/>
  <c r="U44" i="185"/>
  <c r="T44" i="185"/>
  <c r="CH29" i="184"/>
  <c r="V41" i="180"/>
  <c r="U41" i="180"/>
  <c r="EC63" i="180"/>
  <c r="EP23" i="180" s="1"/>
  <c r="EC66" i="180"/>
  <c r="EP26" i="180" s="1"/>
  <c r="GL36" i="185"/>
  <c r="GM36" i="185" s="1"/>
  <c r="AO53" i="176"/>
  <c r="P52" i="176"/>
  <c r="DX81" i="179"/>
  <c r="DV81" i="179"/>
  <c r="DP56" i="180"/>
  <c r="DR56" i="180"/>
  <c r="EC56" i="180" s="1"/>
  <c r="EP16" i="180" s="1"/>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EN39" i="180"/>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O26" i="180"/>
  <c r="EH41" i="184"/>
  <c r="DQ71" i="179"/>
  <c r="DO71" i="179"/>
  <c r="DQ65" i="180"/>
  <c r="DO65" i="180"/>
  <c r="CS35" i="182"/>
  <c r="AT35" i="182"/>
  <c r="DR35" i="182"/>
  <c r="AR35" i="182"/>
  <c r="DQ35" i="182"/>
  <c r="EU35" i="182"/>
  <c r="CR35" i="182"/>
  <c r="ES35" i="182"/>
  <c r="EI35" i="182"/>
  <c r="ET35" i="182"/>
  <c r="EP35" i="182"/>
  <c r="DX69" i="180"/>
  <c r="DV69" i="180"/>
  <c r="U42" i="183"/>
  <c r="T42" i="183"/>
  <c r="DR85" i="180"/>
  <c r="DP85" i="180"/>
  <c r="EO38" i="183"/>
  <c r="DR30" i="184"/>
  <c r="AR30" i="184"/>
  <c r="EJ89" i="184"/>
  <c r="EL89" i="184" s="1"/>
  <c r="AT30" i="184"/>
  <c r="EU30" i="184"/>
  <c r="DQ30" i="184"/>
  <c r="CS30" i="184"/>
  <c r="CR30" i="184"/>
  <c r="EO30" i="184"/>
  <c r="ES30" i="184"/>
  <c r="ET30" i="184"/>
  <c r="GM27" i="180"/>
  <c r="DY81" i="179"/>
  <c r="DW81" i="179"/>
  <c r="DQ56" i="180"/>
  <c r="EN16" i="180" s="1"/>
  <c r="DO56" i="180"/>
  <c r="EO21" i="185"/>
  <c r="W40" i="185"/>
  <c r="V40" i="185"/>
  <c r="DY82" i="179"/>
  <c r="DW82" i="179"/>
  <c r="GM44" i="180"/>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DQ58" i="180"/>
  <c r="DO58" i="180"/>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V44" i="180"/>
  <c r="U44" i="180"/>
  <c r="BV44" i="180" s="1"/>
  <c r="EN35" i="179"/>
  <c r="DW71" i="179"/>
  <c r="DY71" i="179"/>
  <c r="EC84" i="180"/>
  <c r="T44" i="180"/>
  <c r="S44" i="180"/>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DP65" i="180"/>
  <c r="DR65" i="180"/>
  <c r="EC65" i="180" s="1"/>
  <c r="EP25" i="180" s="1"/>
  <c r="EN37" i="179"/>
  <c r="DY69" i="180"/>
  <c r="DW69" i="180"/>
  <c r="EC76" i="180"/>
  <c r="T36" i="180"/>
  <c r="S36" i="180"/>
  <c r="DO85" i="180"/>
  <c r="DQ85" i="180"/>
  <c r="EO19" i="183"/>
  <c r="EN26" i="180"/>
  <c r="EJ26" i="182"/>
  <c r="EH26" i="182"/>
  <c r="EP21" i="185"/>
  <c r="DX70" i="179"/>
  <c r="DV70" i="179"/>
  <c r="EI30" i="184"/>
  <c r="DX77" i="180"/>
  <c r="DV77" i="180"/>
  <c r="EC60" i="180"/>
  <c r="EP20" i="180" s="1"/>
  <c r="DR58" i="180"/>
  <c r="EC58" i="180" s="1"/>
  <c r="EP18" i="180" s="1"/>
  <c r="DP58" i="180"/>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T34" i="180"/>
  <c r="S34" i="180"/>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DY73" i="180"/>
  <c r="DW73" i="180"/>
  <c r="L27" i="178"/>
  <c r="N26" i="178"/>
  <c r="EJ100" i="184"/>
  <c r="DQ41" i="184"/>
  <c r="L41" i="184" s="1"/>
  <c r="EU41" i="184"/>
  <c r="ES41" i="184"/>
  <c r="CS41" i="184"/>
  <c r="DR41" i="184"/>
  <c r="M41" i="184" s="1"/>
  <c r="CR41" i="184"/>
  <c r="ET41" i="184"/>
  <c r="EL100" i="184"/>
  <c r="CJ27" i="185"/>
  <c r="X27" i="185"/>
  <c r="EP37" i="184"/>
  <c r="DY59" i="180"/>
  <c r="DW59" i="180"/>
  <c r="AP23" i="182"/>
  <c r="AZ23" i="182"/>
  <c r="AU23" i="182"/>
  <c r="S33" i="184"/>
  <c r="R33" i="184"/>
  <c r="Q33" i="184"/>
  <c r="EH40" i="184"/>
  <c r="EL76" i="184"/>
  <c r="EJ76" i="184"/>
  <c r="EU17" i="184"/>
  <c r="ET17" i="184"/>
  <c r="CS17" i="184"/>
  <c r="CR17" i="184"/>
  <c r="AR17" i="184"/>
  <c r="DR17" i="184"/>
  <c r="DQ17" i="184"/>
  <c r="AT17" i="184"/>
  <c r="ES17" i="184"/>
  <c r="DX64" i="180"/>
  <c r="DV64" i="180"/>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DQ54" i="180"/>
  <c r="EN14" i="180" s="1"/>
  <c r="DO54" i="180"/>
  <c r="AQ39" i="182"/>
  <c r="AO39" i="182"/>
  <c r="AN39" i="182"/>
  <c r="AM39" i="182"/>
  <c r="AL39" i="182"/>
  <c r="AS39" i="182"/>
  <c r="AJ39" i="182"/>
  <c r="EP41" i="183"/>
  <c r="GM32" i="180"/>
  <c r="EK26" i="182"/>
  <c r="EV26" i="182" s="1"/>
  <c r="CJ26" i="182" s="1"/>
  <c r="EI26" i="182"/>
  <c r="DY70" i="179"/>
  <c r="DW70" i="179"/>
  <c r="EC84" i="179"/>
  <c r="S44" i="179"/>
  <c r="T44" i="179"/>
  <c r="AU19" i="185"/>
  <c r="AP19" i="185"/>
  <c r="AZ19" i="185"/>
  <c r="V31" i="185"/>
  <c r="W31" i="185"/>
  <c r="DQ74" i="179"/>
  <c r="DO74" i="179"/>
  <c r="DY77" i="180"/>
  <c r="EC77" i="180" s="1"/>
  <c r="DW77" i="180"/>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59" i="180"/>
  <c r="EO19" i="180" s="1"/>
  <c r="DV59" i="180"/>
  <c r="DX78" i="179"/>
  <c r="EO38" i="179" s="1"/>
  <c r="DV78" i="179"/>
  <c r="EP27" i="184"/>
  <c r="EN21" i="180"/>
  <c r="DY64" i="180"/>
  <c r="DW64" i="180"/>
  <c r="V41" i="185"/>
  <c r="AT41" i="185" s="1"/>
  <c r="W41" i="185"/>
  <c r="EN28" i="180"/>
  <c r="DP54" i="180"/>
  <c r="DR54" i="180"/>
  <c r="Q31" i="184"/>
  <c r="S31" i="184"/>
  <c r="R31" i="184"/>
  <c r="AZ32" i="183"/>
  <c r="GL45" i="183"/>
  <c r="DX75" i="180"/>
  <c r="DV75" i="180"/>
  <c r="DP74" i="179"/>
  <c r="DR74" i="179"/>
  <c r="EP26" i="182"/>
  <c r="EH36" i="183"/>
  <c r="AR45" i="183"/>
  <c r="W30" i="185"/>
  <c r="V30" i="185"/>
  <c r="DV70" i="180"/>
  <c r="DX70" i="180"/>
  <c r="EN20" i="180"/>
  <c r="EN35" i="180"/>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DX54" i="180"/>
  <c r="DV54" i="180"/>
  <c r="EJ78" i="184"/>
  <c r="EL78" i="184"/>
  <c r="DR19" i="184"/>
  <c r="AR19" i="184"/>
  <c r="DQ19" i="184"/>
  <c r="CS19" i="184"/>
  <c r="EU19" i="184"/>
  <c r="CR19" i="184"/>
  <c r="AT19" i="184"/>
  <c r="EH19" i="184"/>
  <c r="EP19" i="184"/>
  <c r="EI19" i="184"/>
  <c r="ES19" i="184"/>
  <c r="ET19" i="184"/>
  <c r="EO37" i="184"/>
  <c r="U23" i="185"/>
  <c r="T23" i="185"/>
  <c r="GM40" i="180"/>
  <c r="DY78" i="179"/>
  <c r="EC78" i="179" s="1"/>
  <c r="EP38" i="179" s="1"/>
  <c r="DW78" i="179"/>
  <c r="EI40" i="184"/>
  <c r="EI21" i="185"/>
  <c r="EK23" i="182"/>
  <c r="EV23" i="182" s="1"/>
  <c r="CJ23" i="182" s="1"/>
  <c r="EI23" i="182"/>
  <c r="EC83" i="179"/>
  <c r="EP43" i="179" s="1"/>
  <c r="EO18" i="184"/>
  <c r="DQ81" i="180"/>
  <c r="DO81" i="180"/>
  <c r="DR69" i="180"/>
  <c r="DP69" i="180"/>
  <c r="P22" i="185"/>
  <c r="O22" i="185"/>
  <c r="N22" i="185"/>
  <c r="GM45" i="185"/>
  <c r="V43" i="180"/>
  <c r="U43" i="180"/>
  <c r="BV43" i="180" s="1"/>
  <c r="DY75" i="180"/>
  <c r="DW75" i="180"/>
  <c r="DR67" i="180"/>
  <c r="DP67" i="180"/>
  <c r="EI36" i="183"/>
  <c r="GM27" i="185"/>
  <c r="DW70" i="180"/>
  <c r="DY70" i="180"/>
  <c r="AP30" i="185"/>
  <c r="AU30" i="185"/>
  <c r="AZ30" i="185"/>
  <c r="EJ79" i="184"/>
  <c r="EL79" i="184" s="1"/>
  <c r="CS20" i="184"/>
  <c r="CR20" i="184"/>
  <c r="DR20" i="184"/>
  <c r="AR20" i="184"/>
  <c r="DQ20" i="184"/>
  <c r="AT20" i="184"/>
  <c r="EU20" i="184"/>
  <c r="ET20" i="184"/>
  <c r="EP20" i="184"/>
  <c r="EH20" i="184"/>
  <c r="EI20" i="184"/>
  <c r="ES20" i="184"/>
  <c r="AT41" i="183"/>
  <c r="DX82" i="180"/>
  <c r="EO42" i="180" s="1"/>
  <c r="DV82" i="180"/>
  <c r="DR73" i="179"/>
  <c r="EC73" i="179" s="1"/>
  <c r="EP33" i="179" s="1"/>
  <c r="DP73" i="179"/>
  <c r="DQ82" i="180"/>
  <c r="DO82" i="180"/>
  <c r="CJ43" i="183"/>
  <c r="X43" i="183"/>
  <c r="AP16" i="183"/>
  <c r="AU16" i="183"/>
  <c r="AZ16" i="183"/>
  <c r="DY54" i="180"/>
  <c r="DW54" i="180"/>
  <c r="EN17" i="180"/>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DX55" i="180"/>
  <c r="DV55" i="180"/>
  <c r="EJ23" i="182"/>
  <c r="EH23" i="182"/>
  <c r="EJ84" i="184"/>
  <c r="DR25" i="184"/>
  <c r="AR25" i="184"/>
  <c r="DQ25" i="184"/>
  <c r="CS25" i="184"/>
  <c r="CR25" i="184"/>
  <c r="AT25" i="184"/>
  <c r="EU25" i="184"/>
  <c r="ET25" i="184"/>
  <c r="EL84" i="184"/>
  <c r="EI25" i="184"/>
  <c r="EH25" i="184"/>
  <c r="ES25" i="184"/>
  <c r="DR81" i="180"/>
  <c r="DP81" i="180"/>
  <c r="DV79" i="179"/>
  <c r="DX79" i="179"/>
  <c r="DQ69" i="180"/>
  <c r="DO69" i="180"/>
  <c r="EO44" i="184"/>
  <c r="Q22" i="185"/>
  <c r="S22" i="185"/>
  <c r="R22" i="185"/>
  <c r="DQ79" i="179"/>
  <c r="DO79" i="179"/>
  <c r="EN36" i="180"/>
  <c r="CS33" i="182"/>
  <c r="AT33" i="182"/>
  <c r="DR33" i="182"/>
  <c r="AR33" i="182"/>
  <c r="DQ33" i="182"/>
  <c r="EU33" i="182"/>
  <c r="CR33" i="182"/>
  <c r="EP33" i="182"/>
  <c r="ES33" i="182"/>
  <c r="EI33" i="182"/>
  <c r="ET33" i="182"/>
  <c r="X30" i="185"/>
  <c r="CJ30" i="185"/>
  <c r="DQ72" i="180"/>
  <c r="DO72" i="180"/>
  <c r="AZ26" i="184"/>
  <c r="AU26" i="184"/>
  <c r="AP26" i="184"/>
  <c r="DQ67" i="180"/>
  <c r="DO67" i="180"/>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FN57" i="180"/>
  <c r="FW57" i="180" s="1"/>
  <c r="FV57" i="180" s="1"/>
  <c r="FU57" i="180"/>
  <c r="FT57" i="180" s="1"/>
  <c r="FR57" i="180"/>
  <c r="FS58" i="180" s="1"/>
  <c r="FQ57" i="180"/>
  <c r="FY57" i="180" s="1"/>
  <c r="FP57" i="180"/>
  <c r="GA57" i="180" s="1"/>
  <c r="FO57" i="180"/>
  <c r="DR82" i="180"/>
  <c r="DP82" i="180"/>
  <c r="DX74" i="179"/>
  <c r="EO34" i="179" s="1"/>
  <c r="DV74" i="179"/>
  <c r="EP20" i="185"/>
  <c r="DQ83" i="180"/>
  <c r="DO83" i="180"/>
  <c r="EJ83" i="183"/>
  <c r="EL83" i="183" s="1"/>
  <c r="CR24" i="183"/>
  <c r="CS24" i="183"/>
  <c r="AT24" i="183"/>
  <c r="AR24" i="183"/>
  <c r="EU24" i="183"/>
  <c r="DR24" i="183"/>
  <c r="DQ24" i="183"/>
  <c r="ES24" i="183"/>
  <c r="ET24" i="183"/>
  <c r="EI24" i="183"/>
  <c r="DX68" i="180"/>
  <c r="EO28" i="180" s="1"/>
  <c r="DV68" i="180"/>
  <c r="DR32" i="182"/>
  <c r="AR32" i="182"/>
  <c r="DQ32" i="182"/>
  <c r="EU32" i="182"/>
  <c r="ES32" i="182"/>
  <c r="CS32" i="182"/>
  <c r="CR32" i="182"/>
  <c r="AT32" i="182"/>
  <c r="ET32" i="182"/>
  <c r="EP32" i="182"/>
  <c r="GM33" i="185"/>
  <c r="DR81" i="179"/>
  <c r="EC81" i="179" s="1"/>
  <c r="EP41" i="179" s="1"/>
  <c r="DP81" i="179"/>
  <c r="EP39" i="184"/>
  <c r="S36" i="185"/>
  <c r="R36" i="185"/>
  <c r="Q36" i="185"/>
  <c r="DY55" i="180"/>
  <c r="DW55" i="180"/>
  <c r="DQ73" i="180"/>
  <c r="DO73" i="180"/>
  <c r="EC59" i="180"/>
  <c r="EP19" i="180" s="1"/>
  <c r="AZ34" i="183"/>
  <c r="EH17" i="184"/>
  <c r="DW79" i="179"/>
  <c r="DY79" i="179"/>
  <c r="DR79" i="179"/>
  <c r="DP79" i="179"/>
  <c r="GL28" i="185"/>
  <c r="GM28" i="185" s="1"/>
  <c r="EP24" i="185"/>
  <c r="DR72" i="180"/>
  <c r="DP72" i="180"/>
  <c r="GM33" i="180"/>
  <c r="V43" i="183"/>
  <c r="AT43" i="183" s="1"/>
  <c r="W43" i="183"/>
  <c r="DR76" i="179"/>
  <c r="EC76" i="179" s="1"/>
  <c r="EP36" i="179" s="1"/>
  <c r="DP76" i="179"/>
  <c r="EH35" i="184"/>
  <c r="EO18" i="180"/>
  <c r="EN38" i="180"/>
  <c r="EO41" i="185"/>
  <c r="AP23" i="185"/>
  <c r="AU23" i="185"/>
  <c r="AZ23" i="185"/>
  <c r="DX57" i="180"/>
  <c r="EO17" i="180" s="1"/>
  <c r="DV57" i="180"/>
  <c r="DY74" i="179"/>
  <c r="DW74" i="179"/>
  <c r="DP83" i="180"/>
  <c r="DR83" i="180"/>
  <c r="DY68" i="180"/>
  <c r="DW68" i="180"/>
  <c r="V34" i="185"/>
  <c r="AT34" i="185" s="1"/>
  <c r="W34" i="185"/>
  <c r="P36" i="176"/>
  <c r="AO37" i="176"/>
  <c r="EH27" i="184"/>
  <c r="DP73" i="180"/>
  <c r="DR73" i="180"/>
  <c r="DX73" i="180"/>
  <c r="EO33" i="180" s="1"/>
  <c r="DV73" i="180"/>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GB56" i="180"/>
  <c r="FZ56" i="180"/>
  <c r="AU36" i="182"/>
  <c r="AP36" i="182"/>
  <c r="AZ36" i="182"/>
  <c r="AR30" i="185"/>
  <c r="GM45" i="183"/>
  <c r="EH21" i="184"/>
  <c r="EO29" i="179"/>
  <c r="DQ76" i="179"/>
  <c r="DO76" i="179"/>
  <c r="BT31" i="180"/>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AO19" i="206" l="1"/>
  <c r="P18" i="206"/>
  <c r="AO19" i="205"/>
  <c r="P18" i="205"/>
  <c r="AO19" i="204"/>
  <c r="P18" i="204"/>
  <c r="AO19" i="203"/>
  <c r="P18" i="203"/>
  <c r="AO19" i="202"/>
  <c r="P18" i="202"/>
  <c r="AO19" i="201"/>
  <c r="P18" i="201"/>
  <c r="AO19" i="200"/>
  <c r="P18" i="200"/>
  <c r="AO19" i="199"/>
  <c r="P18" i="199"/>
  <c r="AO19" i="198"/>
  <c r="P18" i="198"/>
  <c r="AO19" i="197"/>
  <c r="P18" i="197"/>
  <c r="AO19" i="196"/>
  <c r="P18" i="196"/>
  <c r="P19" i="195"/>
  <c r="AO20" i="195"/>
  <c r="AO19" i="194"/>
  <c r="P18" i="194"/>
  <c r="AO19" i="193"/>
  <c r="P18" i="193"/>
  <c r="AO19" i="192"/>
  <c r="P18" i="192"/>
  <c r="P19" i="191"/>
  <c r="AO20" i="191"/>
  <c r="AO19" i="190"/>
  <c r="P18" i="190"/>
  <c r="AO19" i="189"/>
  <c r="P18" i="189"/>
  <c r="EN36" i="179"/>
  <c r="BT34" i="180"/>
  <c r="BT45" i="179"/>
  <c r="EN43" i="180"/>
  <c r="EN27" i="180"/>
  <c r="BT28" i="180"/>
  <c r="EN29" i="180"/>
  <c r="BT35" i="180"/>
  <c r="FA15" i="179"/>
  <c r="FA14" i="179"/>
  <c r="EN40" i="180"/>
  <c r="EN45" i="180"/>
  <c r="FX57" i="179"/>
  <c r="FR58" i="179"/>
  <c r="FS59" i="179" s="1"/>
  <c r="FP59" i="179" s="1"/>
  <c r="GA59" i="179" s="1"/>
  <c r="FU58" i="179"/>
  <c r="FT58" i="179" s="1"/>
  <c r="FQ58" i="179"/>
  <c r="FY58" i="179" s="1"/>
  <c r="FZ58" i="179" s="1"/>
  <c r="FN58" i="179"/>
  <c r="FW58" i="179" s="1"/>
  <c r="FV58" i="179" s="1"/>
  <c r="FO58" i="179"/>
  <c r="FX58" i="179" s="1"/>
  <c r="FX57" i="180"/>
  <c r="W37" i="180"/>
  <c r="EP37" i="180"/>
  <c r="V34" i="180"/>
  <c r="U34" i="180"/>
  <c r="BV34" i="180"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EO24" i="180"/>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BV41" i="180"/>
  <c r="P20" i="183"/>
  <c r="O20" i="183"/>
  <c r="N20" i="183"/>
  <c r="W39" i="180"/>
  <c r="EP39" i="180"/>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C73" i="180"/>
  <c r="T33" i="180"/>
  <c r="S33" i="180"/>
  <c r="BT33" i="180" s="1"/>
  <c r="EJ82" i="185"/>
  <c r="DQ23" i="185"/>
  <c r="L23" i="185" s="1"/>
  <c r="DR23" i="185"/>
  <c r="M23" i="185" s="1"/>
  <c r="CS23" i="185"/>
  <c r="CR23" i="185"/>
  <c r="EU23" i="185"/>
  <c r="EO23" i="185"/>
  <c r="ET23" i="185"/>
  <c r="EP23" i="185"/>
  <c r="EL82" i="185"/>
  <c r="ES23" i="185"/>
  <c r="EI23" i="185"/>
  <c r="EH23" i="185"/>
  <c r="EC79" i="179"/>
  <c r="EP39" i="179" s="1"/>
  <c r="O24" i="183"/>
  <c r="N24" i="183"/>
  <c r="P24" i="183"/>
  <c r="EC82" i="180"/>
  <c r="T42" i="180"/>
  <c r="S42" i="180"/>
  <c r="EN32" i="180"/>
  <c r="EN39" i="179"/>
  <c r="R34" i="184"/>
  <c r="S34" i="184"/>
  <c r="Q34" i="184"/>
  <c r="P17" i="184"/>
  <c r="O17" i="184"/>
  <c r="N17" i="184"/>
  <c r="EO30" i="179"/>
  <c r="P35" i="184"/>
  <c r="O35" i="184"/>
  <c r="N35" i="184"/>
  <c r="R18" i="185"/>
  <c r="Q18" i="185"/>
  <c r="S18" i="185"/>
  <c r="EC85" i="180"/>
  <c r="T45" i="180"/>
  <c r="S45" i="180"/>
  <c r="O21" i="183"/>
  <c r="N21" i="183"/>
  <c r="P21" i="183"/>
  <c r="P28" i="182"/>
  <c r="O28" i="182"/>
  <c r="N28" i="182"/>
  <c r="BT37" i="180"/>
  <c r="S28" i="183"/>
  <c r="R28" i="183"/>
  <c r="Q28" i="183"/>
  <c r="S23" i="184"/>
  <c r="R23" i="184"/>
  <c r="Q23" i="184"/>
  <c r="EN41" i="179"/>
  <c r="P38" i="182"/>
  <c r="O38" i="182"/>
  <c r="N38" i="182"/>
  <c r="EC67" i="180"/>
  <c r="T27" i="180"/>
  <c r="S27" i="180"/>
  <c r="EO35" i="180"/>
  <c r="O26" i="178" a="1"/>
  <c r="O26" i="178" s="1"/>
  <c r="EC74" i="180"/>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EN25" i="180"/>
  <c r="AR44" i="185"/>
  <c r="U27" i="185"/>
  <c r="T27" i="185"/>
  <c r="EJ90" i="185"/>
  <c r="DR31" i="185"/>
  <c r="M31" i="185" s="1"/>
  <c r="DQ31" i="185"/>
  <c r="L31" i="185" s="1"/>
  <c r="CR31" i="185"/>
  <c r="EU31" i="185"/>
  <c r="ET31" i="185"/>
  <c r="ES31" i="185"/>
  <c r="CS31" i="185"/>
  <c r="EL90" i="185"/>
  <c r="EP31" i="185"/>
  <c r="EO31" i="185"/>
  <c r="EI31" i="185"/>
  <c r="EH31" i="185"/>
  <c r="BV40" i="180"/>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FZ57" i="180"/>
  <c r="GB57" i="180"/>
  <c r="S37" i="183"/>
  <c r="R37" i="183"/>
  <c r="Q37" i="183"/>
  <c r="S33" i="182"/>
  <c r="R33" i="182"/>
  <c r="Q33" i="182"/>
  <c r="V35" i="180"/>
  <c r="U35" i="180"/>
  <c r="CH26" i="182"/>
  <c r="P30" i="184"/>
  <c r="O30" i="184"/>
  <c r="N30" i="184"/>
  <c r="N39" i="185"/>
  <c r="P39" i="185"/>
  <c r="O39" i="185"/>
  <c r="O39" i="183"/>
  <c r="P39" i="183"/>
  <c r="N39" i="183"/>
  <c r="R33" i="185"/>
  <c r="S33" i="185"/>
  <c r="Q33" i="185"/>
  <c r="EC64" i="180"/>
  <c r="EP24" i="180" s="1"/>
  <c r="N41" i="183"/>
  <c r="P41" i="183"/>
  <c r="O41" i="183"/>
  <c r="S43" i="184"/>
  <c r="R43" i="184"/>
  <c r="Q43" i="184"/>
  <c r="V42" i="180"/>
  <c r="U42" i="180"/>
  <c r="BV42" i="180" s="1"/>
  <c r="N27" i="183"/>
  <c r="P27" i="183"/>
  <c r="O27" i="183"/>
  <c r="FU58" i="180"/>
  <c r="FT58" i="180" s="1"/>
  <c r="FR58" i="180"/>
  <c r="FS59" i="180" s="1"/>
  <c r="FQ58" i="180"/>
  <c r="FY58" i="180" s="1"/>
  <c r="FP58" i="180"/>
  <c r="GA58" i="180" s="1"/>
  <c r="FO58" i="180"/>
  <c r="FN58" i="180"/>
  <c r="FW58" i="180" s="1"/>
  <c r="FV58" i="180" s="1"/>
  <c r="S44" i="184"/>
  <c r="R44" i="184"/>
  <c r="Q44" i="184"/>
  <c r="S38" i="182"/>
  <c r="R38" i="182"/>
  <c r="Q38" i="182"/>
  <c r="EN42" i="180"/>
  <c r="BT44" i="179"/>
  <c r="O36" i="183"/>
  <c r="N36" i="183"/>
  <c r="P36" i="183"/>
  <c r="U33" i="180"/>
  <c r="V33" i="180"/>
  <c r="N22" i="183"/>
  <c r="P22" i="183"/>
  <c r="O22" i="183"/>
  <c r="EN31" i="179"/>
  <c r="P31" i="183"/>
  <c r="O31" i="183"/>
  <c r="N31" i="183"/>
  <c r="S24" i="182"/>
  <c r="R24" i="182"/>
  <c r="Q24" i="182"/>
  <c r="S34" i="182"/>
  <c r="Q34" i="182"/>
  <c r="R34" i="182"/>
  <c r="EP44" i="179"/>
  <c r="W44" i="179"/>
  <c r="S35" i="184"/>
  <c r="R35" i="184"/>
  <c r="Q35" i="184"/>
  <c r="EO29" i="180"/>
  <c r="AT27" i="185"/>
  <c r="V45" i="179"/>
  <c r="U45" i="179"/>
  <c r="BV45" i="179" s="1"/>
  <c r="EC85" i="179"/>
  <c r="V32" i="180"/>
  <c r="U32" i="180"/>
  <c r="EO32" i="180"/>
  <c r="P33" i="185"/>
  <c r="O33" i="185"/>
  <c r="N33" i="185"/>
  <c r="EO31" i="180"/>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EO30" i="180"/>
  <c r="EC54" i="180"/>
  <c r="EP14" i="180" s="1"/>
  <c r="R36" i="183"/>
  <c r="S36" i="183"/>
  <c r="Q36" i="183"/>
  <c r="R17" i="184"/>
  <c r="Q17" i="184"/>
  <c r="S17" i="184"/>
  <c r="P42" i="185"/>
  <c r="O42" i="185"/>
  <c r="N42" i="185"/>
  <c r="S35" i="182"/>
  <c r="R35" i="182"/>
  <c r="Q35" i="182"/>
  <c r="Q39" i="185"/>
  <c r="R39" i="185"/>
  <c r="S39" i="185"/>
  <c r="EO28" i="179"/>
  <c r="S32" i="183"/>
  <c r="R32" i="183"/>
  <c r="Q32" i="183"/>
  <c r="EN40" i="179"/>
  <c r="V36" i="180"/>
  <c r="U36" i="180"/>
  <c r="BV36" i="180" s="1"/>
  <c r="S28" i="182"/>
  <c r="R28" i="182"/>
  <c r="Q28" i="182"/>
  <c r="EJ83" i="184"/>
  <c r="EL83" i="184"/>
  <c r="CS24" i="184"/>
  <c r="CR24" i="184"/>
  <c r="AT24" i="184"/>
  <c r="DR24" i="184"/>
  <c r="AR24" i="184"/>
  <c r="EU24" i="184"/>
  <c r="DQ24" i="184"/>
  <c r="ET24" i="184"/>
  <c r="ES24" i="184"/>
  <c r="EI24" i="184"/>
  <c r="EP24" i="184"/>
  <c r="EO24" i="184"/>
  <c r="EH24" i="184"/>
  <c r="U38" i="180"/>
  <c r="BV38" i="180" s="1"/>
  <c r="V38" i="180"/>
  <c r="EO38" i="180"/>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V28" i="180"/>
  <c r="U28" i="180"/>
  <c r="EN33" i="180"/>
  <c r="Q19" i="183"/>
  <c r="S19" i="183"/>
  <c r="R19" i="183"/>
  <c r="EN33" i="179"/>
  <c r="Q43" i="183"/>
  <c r="S43" i="183"/>
  <c r="R43" i="183"/>
  <c r="BT36" i="180"/>
  <c r="S21" i="185"/>
  <c r="R21" i="185"/>
  <c r="Q21" i="185"/>
  <c r="O32" i="183"/>
  <c r="N32" i="183"/>
  <c r="P32" i="183"/>
  <c r="EJ99" i="183"/>
  <c r="EL99" i="183" s="1"/>
  <c r="CS40" i="183"/>
  <c r="CR40" i="183"/>
  <c r="AT40" i="183"/>
  <c r="DQ40" i="183"/>
  <c r="EU40" i="183"/>
  <c r="AR40" i="183"/>
  <c r="ES40" i="183"/>
  <c r="DR40" i="183"/>
  <c r="ET40" i="183"/>
  <c r="EH40" i="183"/>
  <c r="EP40" i="183"/>
  <c r="EO40" i="183"/>
  <c r="EI40" i="183"/>
  <c r="EC75" i="180"/>
  <c r="BV27" i="180"/>
  <c r="EO25" i="180"/>
  <c r="EO36" i="180"/>
  <c r="N29" i="183"/>
  <c r="P29" i="183"/>
  <c r="O29" i="183"/>
  <c r="EC68" i="180"/>
  <c r="P43" i="184"/>
  <c r="O43" i="184"/>
  <c r="N43" i="184"/>
  <c r="P31" i="182"/>
  <c r="O31" i="182"/>
  <c r="N31" i="182"/>
  <c r="EC83" i="180"/>
  <c r="T43" i="180"/>
  <c r="S43" i="180"/>
  <c r="CH23" i="182"/>
  <c r="EO14" i="180"/>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EN18" i="180"/>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EC81" i="180"/>
  <c r="T41" i="180"/>
  <c r="S41" i="180"/>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W36" i="180"/>
  <c r="EP36" i="180"/>
  <c r="S25" i="182"/>
  <c r="R25" i="182"/>
  <c r="Q25" i="182"/>
  <c r="AT40" i="185"/>
  <c r="EO31" i="179"/>
  <c r="EC80" i="180"/>
  <c r="S40" i="180"/>
  <c r="T40" i="180"/>
  <c r="FK61" i="180"/>
  <c r="FJ60" i="180"/>
  <c r="N23" i="184"/>
  <c r="P23" i="184"/>
  <c r="O23" i="184"/>
  <c r="BT38" i="180"/>
  <c r="AZ45" i="185"/>
  <c r="AU45" i="185"/>
  <c r="AP45" i="185"/>
  <c r="EN24" i="180"/>
  <c r="AR25" i="185"/>
  <c r="S41" i="185"/>
  <c r="R41" i="185"/>
  <c r="Q41" i="185"/>
  <c r="EN42" i="179"/>
  <c r="EN30" i="180"/>
  <c r="S39" i="184"/>
  <c r="R39" i="184"/>
  <c r="Q39" i="184"/>
  <c r="Q29" i="184"/>
  <c r="R29" i="184"/>
  <c r="S29" i="184"/>
  <c r="N25" i="184"/>
  <c r="O25" i="184"/>
  <c r="P25" i="184"/>
  <c r="EO15" i="180"/>
  <c r="EC69" i="180"/>
  <c r="T29" i="180"/>
  <c r="S29" i="180"/>
  <c r="P19" i="184"/>
  <c r="O19" i="184"/>
  <c r="N19" i="184"/>
  <c r="N20" i="185"/>
  <c r="P20" i="185"/>
  <c r="O20" i="185"/>
  <c r="P38" i="183"/>
  <c r="O38" i="183"/>
  <c r="N38" i="183"/>
  <c r="V37" i="180"/>
  <c r="U37" i="180"/>
  <c r="P43" i="183"/>
  <c r="O43" i="183"/>
  <c r="N43" i="183"/>
  <c r="BT44" i="180"/>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V30" i="180"/>
  <c r="U30" i="180"/>
  <c r="BV30" i="180" s="1"/>
  <c r="Q23" i="183"/>
  <c r="S23" i="183"/>
  <c r="R23" i="183"/>
  <c r="AP39" i="182"/>
  <c r="AZ39" i="182"/>
  <c r="AU39" i="182"/>
  <c r="V29" i="180"/>
  <c r="U29" i="180"/>
  <c r="S37" i="184"/>
  <c r="R37" i="184"/>
  <c r="Q37" i="184"/>
  <c r="P25" i="182"/>
  <c r="O25" i="182"/>
  <c r="N25" i="182"/>
  <c r="N17" i="183"/>
  <c r="P17" i="183"/>
  <c r="O17" i="183"/>
  <c r="EP38" i="180"/>
  <c r="W38" i="180"/>
  <c r="EO34" i="180"/>
  <c r="T40" i="185"/>
  <c r="AR40" i="185" s="1"/>
  <c r="U40" i="185"/>
  <c r="S24" i="185"/>
  <c r="R24" i="185"/>
  <c r="Q24" i="185"/>
  <c r="EC70" i="180"/>
  <c r="T30" i="180"/>
  <c r="S30" i="180"/>
  <c r="S40" i="184"/>
  <c r="R40" i="184"/>
  <c r="Q40" i="184"/>
  <c r="EC72" i="180"/>
  <c r="T32" i="180"/>
  <c r="S32" i="180"/>
  <c r="P29" i="184"/>
  <c r="O29" i="184"/>
  <c r="N29" i="184"/>
  <c r="U39" i="182"/>
  <c r="T39" i="182"/>
  <c r="EJ85" i="184"/>
  <c r="EL85" i="184" s="1"/>
  <c r="CS26" i="184"/>
  <c r="CR26" i="184"/>
  <c r="AT26" i="184"/>
  <c r="DR26" i="184"/>
  <c r="AR26" i="184"/>
  <c r="DQ26" i="184"/>
  <c r="EU26" i="184"/>
  <c r="ET26" i="184"/>
  <c r="ES26" i="184"/>
  <c r="EI26" i="184"/>
  <c r="EP26" i="184"/>
  <c r="EO26" i="184"/>
  <c r="EH26" i="184"/>
  <c r="EN41" i="180"/>
  <c r="S20" i="185"/>
  <c r="R20" i="185"/>
  <c r="Q20" i="185"/>
  <c r="R38" i="183"/>
  <c r="Q38" i="183"/>
  <c r="S38" i="183"/>
  <c r="EN34" i="179"/>
  <c r="O41" i="184"/>
  <c r="N41" i="184"/>
  <c r="P41" i="184"/>
  <c r="O37" i="182"/>
  <c r="N37" i="182"/>
  <c r="P37" i="182"/>
  <c r="EO37" i="180"/>
  <c r="EP44" i="180"/>
  <c r="W44" i="180"/>
  <c r="P26" i="182"/>
  <c r="N26" i="182"/>
  <c r="O26" i="182"/>
  <c r="EJ92" i="183"/>
  <c r="ES33" i="183"/>
  <c r="CR33" i="183"/>
  <c r="AT33" i="183"/>
  <c r="AR33" i="183"/>
  <c r="DR33" i="183"/>
  <c r="DQ33" i="183"/>
  <c r="CS33" i="183"/>
  <c r="EU33" i="183"/>
  <c r="EL92" i="183"/>
  <c r="EP33" i="183"/>
  <c r="ET33" i="183"/>
  <c r="EO33" i="183"/>
  <c r="EI33" i="183"/>
  <c r="EH33" i="183"/>
  <c r="P24" i="182"/>
  <c r="O24" i="182"/>
  <c r="N24" i="182"/>
  <c r="V31" i="180"/>
  <c r="U31" i="180"/>
  <c r="EC71" i="180"/>
  <c r="BT39" i="180"/>
  <c r="DR45" i="183"/>
  <c r="M45" i="183" s="1"/>
  <c r="DQ45" i="183"/>
  <c r="L45" i="183" s="1"/>
  <c r="EU45" i="183"/>
  <c r="EJ104" i="183"/>
  <c r="CS45" i="183"/>
  <c r="CR45" i="183"/>
  <c r="EL104" i="183"/>
  <c r="EH45" i="183"/>
  <c r="ES45" i="183"/>
  <c r="EI45" i="183"/>
  <c r="ET45" i="183"/>
  <c r="EP45" i="183"/>
  <c r="EO45" i="183"/>
  <c r="S28" i="185"/>
  <c r="R28" i="185"/>
  <c r="Q28" i="185"/>
  <c r="AT41" i="184"/>
  <c r="U2" i="13"/>
  <c r="P19" i="206" l="1"/>
  <c r="AO20" i="206"/>
  <c r="P19" i="205"/>
  <c r="AO20" i="205"/>
  <c r="P19" i="204"/>
  <c r="AO20" i="204"/>
  <c r="P19" i="203"/>
  <c r="AO20" i="203"/>
  <c r="AO20" i="202"/>
  <c r="P19" i="202"/>
  <c r="P19" i="201"/>
  <c r="AO20" i="201"/>
  <c r="P19" i="200"/>
  <c r="AO20" i="200"/>
  <c r="P19" i="199"/>
  <c r="AO20" i="199"/>
  <c r="P19" i="198"/>
  <c r="AO20" i="198"/>
  <c r="P19" i="197"/>
  <c r="AO20" i="197"/>
  <c r="P19" i="196"/>
  <c r="AO20" i="196"/>
  <c r="P20" i="195"/>
  <c r="AO21" i="195"/>
  <c r="P19" i="194"/>
  <c r="AO20" i="194"/>
  <c r="P19" i="193"/>
  <c r="AO20" i="193"/>
  <c r="P19" i="192"/>
  <c r="AO20" i="192"/>
  <c r="P20" i="191"/>
  <c r="AO21" i="191"/>
  <c r="P19" i="190"/>
  <c r="AO20" i="190"/>
  <c r="P19" i="189"/>
  <c r="AO20" i="189"/>
  <c r="BT29" i="180"/>
  <c r="BT45" i="180"/>
  <c r="BT42" i="180"/>
  <c r="BT40" i="180"/>
  <c r="FU59" i="179"/>
  <c r="FT59" i="179" s="1"/>
  <c r="FQ59" i="179"/>
  <c r="FY59" i="179" s="1"/>
  <c r="FZ59" i="179" s="1"/>
  <c r="FR59" i="179"/>
  <c r="FS60" i="179" s="1"/>
  <c r="FN60" i="179" s="1"/>
  <c r="FW60" i="179" s="1"/>
  <c r="FV60" i="179" s="1"/>
  <c r="FO59" i="179"/>
  <c r="FX59" i="179" s="1"/>
  <c r="FN59" i="179"/>
  <c r="FW59" i="179" s="1"/>
  <c r="FV59" i="179" s="1"/>
  <c r="GB58" i="179"/>
  <c r="FX58" i="180"/>
  <c r="W30" i="180"/>
  <c r="EP30" i="180"/>
  <c r="P43" i="185"/>
  <c r="N43" i="185"/>
  <c r="O43" i="185"/>
  <c r="S36" i="182"/>
  <c r="Q36" i="182"/>
  <c r="R36" i="182"/>
  <c r="EP45" i="180"/>
  <c r="W45" i="180"/>
  <c r="S17" i="185"/>
  <c r="R17" i="185"/>
  <c r="Q17" i="185"/>
  <c r="AR39" i="182"/>
  <c r="BV29" i="180"/>
  <c r="FK62" i="180"/>
  <c r="FJ61" i="180"/>
  <c r="P44" i="183"/>
  <c r="N44" i="183"/>
  <c r="O44" i="183"/>
  <c r="BV35" i="180"/>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BT41" i="180"/>
  <c r="BV28" i="180"/>
  <c r="P45" i="184"/>
  <c r="O45" i="184"/>
  <c r="N45" i="184"/>
  <c r="EJ91" i="185"/>
  <c r="CS32" i="185"/>
  <c r="CR32" i="185"/>
  <c r="EL91" i="185"/>
  <c r="ET32" i="185"/>
  <c r="DR32" i="185"/>
  <c r="M32" i="185" s="1"/>
  <c r="EU32" i="185"/>
  <c r="DQ32" i="185"/>
  <c r="L32" i="185" s="1"/>
  <c r="ES32" i="185"/>
  <c r="EP32" i="185"/>
  <c r="EO32" i="185"/>
  <c r="EH32" i="185"/>
  <c r="EI32" i="185"/>
  <c r="EP42" i="180"/>
  <c r="W42" i="180"/>
  <c r="R44" i="185"/>
  <c r="Q44" i="185"/>
  <c r="S44" i="185"/>
  <c r="DR39" i="182"/>
  <c r="M39" i="182" s="1"/>
  <c r="DQ39" i="182"/>
  <c r="L39" i="182" s="1"/>
  <c r="EU39" i="182"/>
  <c r="ES39" i="182"/>
  <c r="CS39" i="182"/>
  <c r="CR39" i="182"/>
  <c r="EP39" i="182"/>
  <c r="EH39" i="182"/>
  <c r="EO39" i="182"/>
  <c r="ET39" i="182"/>
  <c r="EI39" i="182"/>
  <c r="S44" i="183"/>
  <c r="R44" i="183"/>
  <c r="Q44" i="183"/>
  <c r="BT43" i="180"/>
  <c r="EP35" i="180"/>
  <c r="W35" i="180"/>
  <c r="S43" i="185"/>
  <c r="R43" i="185"/>
  <c r="Q43" i="185"/>
  <c r="P29" i="185"/>
  <c r="N29" i="185"/>
  <c r="O29" i="185"/>
  <c r="P19" i="185"/>
  <c r="O19" i="185"/>
  <c r="N19" i="185"/>
  <c r="O37" i="185"/>
  <c r="P37" i="185"/>
  <c r="N37" i="185"/>
  <c r="W43" i="180"/>
  <c r="EP43" i="180"/>
  <c r="S29" i="185"/>
  <c r="R29" i="185"/>
  <c r="Q29" i="185"/>
  <c r="GB58" i="180"/>
  <c r="FZ58" i="180"/>
  <c r="P26" i="184"/>
  <c r="O26" i="184"/>
  <c r="N26" i="184"/>
  <c r="BT32" i="180"/>
  <c r="FK60" i="179"/>
  <c r="FJ59" i="179"/>
  <c r="S37" i="185"/>
  <c r="R37" i="185"/>
  <c r="Q37" i="185"/>
  <c r="N35" i="183"/>
  <c r="O35" i="183"/>
  <c r="P35" i="183"/>
  <c r="AR32" i="185"/>
  <c r="BV33" i="180"/>
  <c r="FU59" i="180"/>
  <c r="FT59" i="180" s="1"/>
  <c r="FR59" i="180"/>
  <c r="FS60" i="180" s="1"/>
  <c r="FQ59" i="180"/>
  <c r="FY59" i="180" s="1"/>
  <c r="FP59" i="180"/>
  <c r="GA59" i="180" s="1"/>
  <c r="FO59" i="180"/>
  <c r="FN59" i="180"/>
  <c r="FW59" i="180" s="1"/>
  <c r="FV59" i="180" s="1"/>
  <c r="W34" i="180"/>
  <c r="EP34" i="180"/>
  <c r="EP33" i="180"/>
  <c r="W33" i="180"/>
  <c r="O45" i="183"/>
  <c r="N45" i="183"/>
  <c r="P45" i="183"/>
  <c r="R27" i="185"/>
  <c r="S27" i="185"/>
  <c r="Q27" i="185"/>
  <c r="P24" i="184"/>
  <c r="O24" i="184"/>
  <c r="N24" i="184"/>
  <c r="R35" i="183"/>
  <c r="Q35" i="183"/>
  <c r="S35" i="183"/>
  <c r="S34" i="185"/>
  <c r="R34" i="185"/>
  <c r="Q34" i="185"/>
  <c r="S45" i="184"/>
  <c r="R45" i="184"/>
  <c r="Q45" i="184"/>
  <c r="W32" i="180"/>
  <c r="EP32" i="180"/>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EP29" i="180"/>
  <c r="W29" i="180"/>
  <c r="EP31" i="180"/>
  <c r="W31" i="180"/>
  <c r="P30" i="185"/>
  <c r="N30" i="185"/>
  <c r="O30" i="185"/>
  <c r="S40" i="185"/>
  <c r="R40" i="185"/>
  <c r="Q40" i="185"/>
  <c r="P23" i="185"/>
  <c r="O23" i="185"/>
  <c r="N23" i="185"/>
  <c r="S16" i="183"/>
  <c r="Q16" i="183"/>
  <c r="R16" i="183"/>
  <c r="EP40" i="180"/>
  <c r="W40" i="180"/>
  <c r="BV31" i="180"/>
  <c r="BV37" i="180"/>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BT27" i="180"/>
  <c r="O17" i="185"/>
  <c r="N17" i="185"/>
  <c r="P17" i="185"/>
  <c r="EP45" i="179"/>
  <c r="W45" i="179"/>
  <c r="S31" i="185"/>
  <c r="R31" i="185"/>
  <c r="Q31" i="185"/>
  <c r="W41" i="180"/>
  <c r="EP41" i="180"/>
  <c r="O33" i="183"/>
  <c r="P33" i="183"/>
  <c r="N33" i="183"/>
  <c r="AO19" i="177"/>
  <c r="P18" i="177"/>
  <c r="EP28" i="180"/>
  <c r="W28" i="180"/>
  <c r="BV32" i="180"/>
  <c r="L29" i="178"/>
  <c r="N28" i="178"/>
  <c r="EP27" i="180"/>
  <c r="W27" i="180"/>
  <c r="R23" i="185"/>
  <c r="S23" i="185"/>
  <c r="Q23" i="185"/>
  <c r="P44" i="185"/>
  <c r="O44" i="185"/>
  <c r="N44" i="185"/>
  <c r="AO55" i="176"/>
  <c r="P55" i="176" s="1"/>
  <c r="P54" i="176"/>
  <c r="R45" i="183"/>
  <c r="S45" i="183"/>
  <c r="Q45" i="183"/>
  <c r="BT30" i="180"/>
  <c r="P23" i="182"/>
  <c r="N23" i="182"/>
  <c r="O23" i="182"/>
  <c r="AD3" i="13"/>
  <c r="P20" i="206" l="1"/>
  <c r="AO21" i="206"/>
  <c r="P20" i="205"/>
  <c r="AO21" i="205"/>
  <c r="P20" i="204"/>
  <c r="AO21" i="204"/>
  <c r="P20" i="203"/>
  <c r="AO21" i="203"/>
  <c r="P20" i="202"/>
  <c r="AO21" i="202"/>
  <c r="P20" i="201"/>
  <c r="AO21" i="201"/>
  <c r="P20" i="200"/>
  <c r="AO21" i="200"/>
  <c r="P20" i="199"/>
  <c r="AO21" i="199"/>
  <c r="P20" i="198"/>
  <c r="AO21" i="198"/>
  <c r="P20" i="197"/>
  <c r="AO21" i="197"/>
  <c r="P20" i="196"/>
  <c r="AO21" i="196"/>
  <c r="P21" i="195"/>
  <c r="AO22" i="195"/>
  <c r="P20" i="194"/>
  <c r="AO21" i="194"/>
  <c r="P20" i="193"/>
  <c r="AO21" i="193"/>
  <c r="P20" i="192"/>
  <c r="AO21" i="192"/>
  <c r="AO22" i="191"/>
  <c r="P21" i="191"/>
  <c r="P20" i="190"/>
  <c r="AO21" i="190"/>
  <c r="P20" i="189"/>
  <c r="AO21" i="189"/>
  <c r="P56" i="176"/>
  <c r="FO60" i="179"/>
  <c r="FR60" i="179"/>
  <c r="FS61" i="179" s="1"/>
  <c r="FU61" i="179" s="1"/>
  <c r="FT61" i="179" s="1"/>
  <c r="FU60" i="179"/>
  <c r="FT60" i="179" s="1"/>
  <c r="FQ60" i="179"/>
  <c r="FY60" i="179" s="1"/>
  <c r="FZ60" i="179" s="1"/>
  <c r="FP60" i="179"/>
  <c r="GA60" i="179" s="1"/>
  <c r="GB59" i="179"/>
  <c r="FX59" i="180"/>
  <c r="Q38" i="185"/>
  <c r="S38" i="185"/>
  <c r="R38" i="185"/>
  <c r="FK61" i="179"/>
  <c r="FJ60" i="179"/>
  <c r="S39" i="182"/>
  <c r="R39" i="182"/>
  <c r="Q39" i="182"/>
  <c r="L30" i="178"/>
  <c r="N29" i="178"/>
  <c r="O29" i="178" s="1" a="1"/>
  <c r="O29" i="178" s="1"/>
  <c r="N38" i="185"/>
  <c r="P38" i="185"/>
  <c r="O38" i="185"/>
  <c r="AE20" i="179"/>
  <c r="AD20" i="179"/>
  <c r="P32" i="185"/>
  <c r="O32" i="185"/>
  <c r="N32" i="185"/>
  <c r="GB59" i="180"/>
  <c r="FZ59" i="180"/>
  <c r="FK63" i="180"/>
  <c r="FJ62" i="180"/>
  <c r="FQ60" i="180"/>
  <c r="FY60" i="180" s="1"/>
  <c r="FU60" i="180"/>
  <c r="FT60" i="180" s="1"/>
  <c r="FR60" i="180"/>
  <c r="FS61" i="180" s="1"/>
  <c r="FP60" i="180"/>
  <c r="GA60" i="180" s="1"/>
  <c r="FO60" i="180"/>
  <c r="FN60" i="180"/>
  <c r="FW60" i="180" s="1"/>
  <c r="FV60" i="180" s="1"/>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AO22" i="206" l="1"/>
  <c r="P21" i="206"/>
  <c r="AO22" i="205"/>
  <c r="P21" i="205"/>
  <c r="AO22" i="204"/>
  <c r="P21" i="204"/>
  <c r="AO22" i="203"/>
  <c r="P21" i="203"/>
  <c r="AO22" i="202"/>
  <c r="P21" i="202"/>
  <c r="AO22" i="201"/>
  <c r="P21" i="201"/>
  <c r="AO22" i="200"/>
  <c r="P21" i="200"/>
  <c r="AO22" i="199"/>
  <c r="P21" i="199"/>
  <c r="AO22" i="198"/>
  <c r="P21" i="198"/>
  <c r="AO22" i="197"/>
  <c r="P21" i="197"/>
  <c r="AO22" i="196"/>
  <c r="P21" i="196"/>
  <c r="AO23" i="195"/>
  <c r="P22" i="195"/>
  <c r="AO22" i="194"/>
  <c r="P21" i="194"/>
  <c r="AO22" i="193"/>
  <c r="P21" i="193"/>
  <c r="AO22" i="192"/>
  <c r="P21" i="192"/>
  <c r="AO23" i="191"/>
  <c r="P22" i="191"/>
  <c r="AO22" i="190"/>
  <c r="P21" i="190"/>
  <c r="AO22" i="189"/>
  <c r="P21" i="189"/>
  <c r="FO61" i="179"/>
  <c r="FQ61" i="179"/>
  <c r="FY61" i="179" s="1"/>
  <c r="FZ61" i="179" s="1"/>
  <c r="FR61" i="179"/>
  <c r="FS62" i="179" s="1"/>
  <c r="FR62" i="179" s="1"/>
  <c r="FS63" i="179" s="1"/>
  <c r="FN61" i="179"/>
  <c r="FW61" i="179" s="1"/>
  <c r="FV61" i="179" s="1"/>
  <c r="FP61" i="179"/>
  <c r="GA61" i="179" s="1"/>
  <c r="FX60" i="179"/>
  <c r="AG20" i="179" s="1"/>
  <c r="GB60" i="179"/>
  <c r="AF20" i="179"/>
  <c r="FX60" i="180"/>
  <c r="L31" i="178"/>
  <c r="N30" i="178"/>
  <c r="O30" i="178" s="1" a="1"/>
  <c r="O30" i="178" s="1"/>
  <c r="FK62" i="179"/>
  <c r="FJ61" i="179"/>
  <c r="FK64" i="180"/>
  <c r="FJ63" i="180"/>
  <c r="AJ20" i="179"/>
  <c r="AI20" i="179"/>
  <c r="FR61" i="180"/>
  <c r="FS62" i="180" s="1"/>
  <c r="FQ61" i="180"/>
  <c r="FY61" i="180" s="1"/>
  <c r="FO61" i="180"/>
  <c r="FU61" i="180"/>
  <c r="FT61" i="180" s="1"/>
  <c r="FP61" i="180"/>
  <c r="GA61" i="180" s="1"/>
  <c r="FN61" i="180"/>
  <c r="FW61" i="180" s="1"/>
  <c r="FV61" i="180" s="1"/>
  <c r="FC20" i="179"/>
  <c r="P20" i="177"/>
  <c r="AO21" i="177"/>
  <c r="GB60" i="180"/>
  <c r="FZ60" i="180"/>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O23" i="206" l="1"/>
  <c r="P22" i="206"/>
  <c r="AO23" i="205"/>
  <c r="P22" i="205"/>
  <c r="AO23" i="204"/>
  <c r="P22" i="204"/>
  <c r="AO23" i="203"/>
  <c r="P22" i="203"/>
  <c r="AO23" i="202"/>
  <c r="P22" i="202"/>
  <c r="AO23" i="201"/>
  <c r="P22" i="201"/>
  <c r="AO23" i="200"/>
  <c r="P22" i="200"/>
  <c r="AO23" i="199"/>
  <c r="P22" i="199"/>
  <c r="AO23" i="198"/>
  <c r="P22" i="198"/>
  <c r="AO23" i="197"/>
  <c r="P22" i="197"/>
  <c r="AO23" i="196"/>
  <c r="P22" i="196"/>
  <c r="P23" i="195"/>
  <c r="AO24" i="195"/>
  <c r="AO23" i="194"/>
  <c r="P22" i="194"/>
  <c r="AO23" i="193"/>
  <c r="P22" i="193"/>
  <c r="AO23" i="192"/>
  <c r="P22" i="192"/>
  <c r="AO24" i="191"/>
  <c r="P23" i="191"/>
  <c r="AO23" i="190"/>
  <c r="P22" i="190"/>
  <c r="AO23" i="189"/>
  <c r="P22" i="189"/>
  <c r="AH20" i="179"/>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X61" i="180"/>
  <c r="FK63" i="179"/>
  <c r="FJ62" i="179"/>
  <c r="GB61" i="180"/>
  <c r="FZ61" i="180"/>
  <c r="FK65" i="180"/>
  <c r="FJ64" i="180"/>
  <c r="FP62" i="180"/>
  <c r="GA62" i="180" s="1"/>
  <c r="FO62" i="180"/>
  <c r="FU62" i="180"/>
  <c r="FT62" i="180" s="1"/>
  <c r="FR62" i="180"/>
  <c r="FS63" i="180" s="1"/>
  <c r="FQ62" i="180"/>
  <c r="FY62" i="180" s="1"/>
  <c r="FN62" i="180"/>
  <c r="FW62" i="180" s="1"/>
  <c r="FV62" i="180" s="1"/>
  <c r="FE20" i="179"/>
  <c r="N31" i="178"/>
  <c r="O31" i="178" s="1" a="1"/>
  <c r="O31" i="178" s="1"/>
  <c r="L32" i="178"/>
  <c r="O13" i="80" a="1"/>
  <c r="O13" i="80" s="1"/>
  <c r="P23" i="206" l="1"/>
  <c r="AO24" i="206"/>
  <c r="P23" i="205"/>
  <c r="AO24" i="205"/>
  <c r="P23" i="204"/>
  <c r="AO24" i="204"/>
  <c r="P23" i="203"/>
  <c r="AO24" i="203"/>
  <c r="AO24" i="202"/>
  <c r="P23" i="202"/>
  <c r="P23" i="201"/>
  <c r="AO24" i="201"/>
  <c r="AO24" i="200"/>
  <c r="P23" i="200"/>
  <c r="P23" i="199"/>
  <c r="AO24" i="199"/>
  <c r="P23" i="198"/>
  <c r="AO24" i="198"/>
  <c r="P23" i="197"/>
  <c r="AO24" i="197"/>
  <c r="P23" i="196"/>
  <c r="AO24" i="196"/>
  <c r="P24" i="195"/>
  <c r="AO25" i="195"/>
  <c r="AO24" i="194"/>
  <c r="P23" i="194"/>
  <c r="P23" i="193"/>
  <c r="AO24" i="193"/>
  <c r="AO24" i="192"/>
  <c r="P23" i="192"/>
  <c r="P24" i="191"/>
  <c r="AO25" i="191"/>
  <c r="P23" i="190"/>
  <c r="AO24" i="190"/>
  <c r="P23" i="189"/>
  <c r="AO24" i="189"/>
  <c r="FD20" i="179"/>
  <c r="FF20" i="179" s="1"/>
  <c r="FX62" i="179"/>
  <c r="GB62" i="179"/>
  <c r="FX62" i="180"/>
  <c r="EX21" i="179"/>
  <c r="BY20" i="179"/>
  <c r="EX20" i="179"/>
  <c r="FX63" i="179"/>
  <c r="FQ63" i="180"/>
  <c r="FY63" i="180" s="1"/>
  <c r="FN63" i="180"/>
  <c r="FW63" i="180" s="1"/>
  <c r="FV63" i="180" s="1"/>
  <c r="FR63" i="180"/>
  <c r="FS64" i="180" s="1"/>
  <c r="FP63" i="180"/>
  <c r="GA63" i="180" s="1"/>
  <c r="FO63" i="180"/>
  <c r="FU63" i="180"/>
  <c r="FT63" i="180" s="1"/>
  <c r="AO23" i="177"/>
  <c r="P22" i="177"/>
  <c r="GB62" i="180"/>
  <c r="FZ62" i="180"/>
  <c r="FK64" i="179"/>
  <c r="FJ63" i="179"/>
  <c r="FZ63" i="179"/>
  <c r="GB63" i="179"/>
  <c r="FR64" i="179"/>
  <c r="FS65" i="179" s="1"/>
  <c r="FU64" i="179"/>
  <c r="FT64" i="179" s="1"/>
  <c r="FQ64" i="179"/>
  <c r="FY64" i="179" s="1"/>
  <c r="FP64" i="179"/>
  <c r="GA64" i="179" s="1"/>
  <c r="FO64" i="179"/>
  <c r="FN64" i="179"/>
  <c r="FW64" i="179" s="1"/>
  <c r="FV64" i="179" s="1"/>
  <c r="FK66" i="180"/>
  <c r="FJ65" i="180"/>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P24" i="206" l="1"/>
  <c r="AO25" i="206"/>
  <c r="P24" i="205"/>
  <c r="AO25" i="205"/>
  <c r="P24" i="204"/>
  <c r="AO25" i="204"/>
  <c r="P24" i="203"/>
  <c r="AO25" i="203"/>
  <c r="P24" i="202"/>
  <c r="AO25" i="202"/>
  <c r="P24" i="201"/>
  <c r="AO25" i="201"/>
  <c r="P24" i="200"/>
  <c r="AO25" i="200"/>
  <c r="P24" i="199"/>
  <c r="AO25" i="199"/>
  <c r="P24" i="198"/>
  <c r="AO25" i="198"/>
  <c r="P24" i="197"/>
  <c r="AO25" i="197"/>
  <c r="P24" i="196"/>
  <c r="AO25" i="196"/>
  <c r="P25" i="195"/>
  <c r="AO26" i="195"/>
  <c r="P24" i="194"/>
  <c r="AO25" i="194"/>
  <c r="P24" i="193"/>
  <c r="AO25" i="193"/>
  <c r="P24" i="192"/>
  <c r="AO25" i="192"/>
  <c r="AO26" i="191"/>
  <c r="P25" i="191"/>
  <c r="P24" i="190"/>
  <c r="AO25" i="190"/>
  <c r="P24" i="189"/>
  <c r="AO25" i="189"/>
  <c r="FX63" i="180"/>
  <c r="FX64" i="179"/>
  <c r="FK65" i="179"/>
  <c r="FJ64" i="179"/>
  <c r="L34" i="178"/>
  <c r="N33" i="178"/>
  <c r="O33" i="178" s="1" a="1"/>
  <c r="O33" i="178" s="1"/>
  <c r="FJ66" i="180"/>
  <c r="FK67" i="180"/>
  <c r="AO24" i="177"/>
  <c r="P23" i="177"/>
  <c r="FZ64" i="179"/>
  <c r="GB64" i="179"/>
  <c r="FO64" i="180"/>
  <c r="FN64" i="180"/>
  <c r="FW64" i="180" s="1"/>
  <c r="FV64" i="180" s="1"/>
  <c r="FU64" i="180"/>
  <c r="FT64" i="180" s="1"/>
  <c r="FR64" i="180"/>
  <c r="FS65" i="180" s="1"/>
  <c r="FQ64" i="180"/>
  <c r="FY64" i="180" s="1"/>
  <c r="FP64" i="180"/>
  <c r="GA64" i="180" s="1"/>
  <c r="FR65" i="179"/>
  <c r="FS66" i="179" s="1"/>
  <c r="FU65" i="179"/>
  <c r="FT65" i="179" s="1"/>
  <c r="FQ65" i="179"/>
  <c r="FY65" i="179" s="1"/>
  <c r="FP65" i="179"/>
  <c r="GA65" i="179" s="1"/>
  <c r="FO65" i="179"/>
  <c r="FN65" i="179"/>
  <c r="FW65" i="179" s="1"/>
  <c r="FV65" i="179" s="1"/>
  <c r="GB63" i="180"/>
  <c r="FZ63" i="180"/>
  <c r="L16" i="169"/>
  <c r="AO26" i="206" l="1"/>
  <c r="P25" i="206"/>
  <c r="AO26" i="205"/>
  <c r="P25" i="205"/>
  <c r="AO26" i="204"/>
  <c r="P25" i="204"/>
  <c r="AO26" i="203"/>
  <c r="P25" i="203"/>
  <c r="AO26" i="202"/>
  <c r="P25" i="202"/>
  <c r="AO26" i="201"/>
  <c r="P25" i="201"/>
  <c r="AO26" i="200"/>
  <c r="P25" i="200"/>
  <c r="AO26" i="199"/>
  <c r="P25" i="199"/>
  <c r="AO26" i="198"/>
  <c r="P25" i="198"/>
  <c r="AO26" i="197"/>
  <c r="P25" i="197"/>
  <c r="AO26" i="196"/>
  <c r="P25" i="196"/>
  <c r="AO27" i="195"/>
  <c r="P26" i="195"/>
  <c r="AO26" i="194"/>
  <c r="P25" i="194"/>
  <c r="AO26" i="193"/>
  <c r="P25" i="193"/>
  <c r="AO26" i="192"/>
  <c r="P25" i="192"/>
  <c r="AO27" i="191"/>
  <c r="P26" i="191"/>
  <c r="AO26" i="190"/>
  <c r="P25" i="190"/>
  <c r="AO26" i="189"/>
  <c r="P25" i="189"/>
  <c r="FX65" i="179"/>
  <c r="FX64" i="180"/>
  <c r="GB64" i="180"/>
  <c r="FZ64" i="180"/>
  <c r="FU65" i="180"/>
  <c r="FT65" i="180" s="1"/>
  <c r="FR65" i="180"/>
  <c r="FS66" i="180" s="1"/>
  <c r="FQ65" i="180"/>
  <c r="FY65" i="180" s="1"/>
  <c r="FP65" i="180"/>
  <c r="GA65" i="180" s="1"/>
  <c r="FO65" i="180"/>
  <c r="FN65" i="180"/>
  <c r="FW65" i="180" s="1"/>
  <c r="FV65" i="180" s="1"/>
  <c r="N34" i="178"/>
  <c r="O34" i="178" s="1" a="1"/>
  <c r="O34" i="178" s="1"/>
  <c r="L35" i="178"/>
  <c r="FK68" i="180"/>
  <c r="FJ67" i="180"/>
  <c r="P24" i="177"/>
  <c r="AO25" i="177"/>
  <c r="FZ65" i="179"/>
  <c r="GB65" i="179"/>
  <c r="FR66" i="179"/>
  <c r="FS67" i="179" s="1"/>
  <c r="FQ66" i="179"/>
  <c r="FY66" i="179" s="1"/>
  <c r="FP66" i="179"/>
  <c r="GA66" i="179" s="1"/>
  <c r="FO66" i="179"/>
  <c r="FN66" i="179"/>
  <c r="FW66" i="179" s="1"/>
  <c r="FV66" i="179" s="1"/>
  <c r="FU66" i="179"/>
  <c r="FT66" i="179" s="1"/>
  <c r="FK66" i="179"/>
  <c r="FJ65" i="179"/>
  <c r="L17" i="169"/>
  <c r="AO27" i="206" l="1"/>
  <c r="P26" i="206"/>
  <c r="AO27" i="205"/>
  <c r="P26" i="205"/>
  <c r="AO27" i="204"/>
  <c r="P26" i="204"/>
  <c r="AO27" i="203"/>
  <c r="P26" i="203"/>
  <c r="AO27" i="202"/>
  <c r="P26" i="202"/>
  <c r="AO27" i="201"/>
  <c r="P26" i="201"/>
  <c r="AO27" i="200"/>
  <c r="P26" i="200"/>
  <c r="AO27" i="199"/>
  <c r="P26" i="199"/>
  <c r="AO27" i="198"/>
  <c r="P26" i="198"/>
  <c r="AO27" i="197"/>
  <c r="P26" i="197"/>
  <c r="AO27" i="196"/>
  <c r="P26" i="196"/>
  <c r="AO28" i="195"/>
  <c r="P27" i="195"/>
  <c r="AO27" i="194"/>
  <c r="P26" i="194"/>
  <c r="AO27" i="193"/>
  <c r="P26" i="193"/>
  <c r="AO27" i="192"/>
  <c r="P26" i="192"/>
  <c r="AO28" i="191"/>
  <c r="P27" i="191"/>
  <c r="AO27" i="190"/>
  <c r="P26" i="190"/>
  <c r="AO27" i="189"/>
  <c r="P26" i="189"/>
  <c r="FX65" i="180"/>
  <c r="L36" i="178"/>
  <c r="N35" i="178"/>
  <c r="O35" i="178" s="1" a="1"/>
  <c r="O35" i="178" s="1"/>
  <c r="FK67" i="179"/>
  <c r="FJ66" i="179"/>
  <c r="FX66" i="179"/>
  <c r="AF26" i="179"/>
  <c r="FJ68" i="180"/>
  <c r="FK69" i="180"/>
  <c r="FZ66" i="179"/>
  <c r="GB66" i="179"/>
  <c r="FU66" i="180"/>
  <c r="FT66" i="180" s="1"/>
  <c r="FR66" i="180"/>
  <c r="FS67" i="180" s="1"/>
  <c r="FQ66" i="180"/>
  <c r="FY66" i="180" s="1"/>
  <c r="FP66" i="180"/>
  <c r="GA66" i="180" s="1"/>
  <c r="FO66" i="180"/>
  <c r="FN66" i="180"/>
  <c r="FW66" i="180" s="1"/>
  <c r="FV66" i="180" s="1"/>
  <c r="P25" i="177"/>
  <c r="AO26" i="177"/>
  <c r="AE26" i="179"/>
  <c r="AD26" i="179"/>
  <c r="FR67" i="179"/>
  <c r="FS68" i="179" s="1"/>
  <c r="FN67" i="179"/>
  <c r="FW67" i="179" s="1"/>
  <c r="FV67" i="179" s="1"/>
  <c r="FO67" i="179"/>
  <c r="FU67" i="179"/>
  <c r="FT67" i="179" s="1"/>
  <c r="FQ67" i="179"/>
  <c r="FY67" i="179" s="1"/>
  <c r="FP67" i="179"/>
  <c r="GA67" i="179" s="1"/>
  <c r="GB65" i="180"/>
  <c r="FZ65" i="180"/>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P27" i="206" l="1"/>
  <c r="AO28" i="206"/>
  <c r="P27" i="205"/>
  <c r="AO28" i="205"/>
  <c r="P27" i="204"/>
  <c r="AO28" i="204"/>
  <c r="P27" i="203"/>
  <c r="AO28" i="203"/>
  <c r="P27" i="202"/>
  <c r="AO28" i="202"/>
  <c r="P27" i="201"/>
  <c r="AO28" i="201"/>
  <c r="AO28" i="200"/>
  <c r="P27" i="200"/>
  <c r="P27" i="199"/>
  <c r="AO28" i="199"/>
  <c r="P27" i="198"/>
  <c r="AO28" i="198"/>
  <c r="P27" i="197"/>
  <c r="AO28" i="197"/>
  <c r="P27" i="196"/>
  <c r="AO28" i="196"/>
  <c r="P28" i="195"/>
  <c r="AO29" i="195"/>
  <c r="AO28" i="194"/>
  <c r="P27" i="194"/>
  <c r="P27" i="193"/>
  <c r="AO28" i="193"/>
  <c r="AO28" i="192"/>
  <c r="P27" i="192"/>
  <c r="P28" i="191"/>
  <c r="AO29" i="191"/>
  <c r="P27" i="190"/>
  <c r="AO28" i="190"/>
  <c r="P27" i="189"/>
  <c r="AO28" i="189"/>
  <c r="FX66" i="180"/>
  <c r="FU67" i="180"/>
  <c r="FT67" i="180" s="1"/>
  <c r="FR67" i="180"/>
  <c r="FS68" i="180" s="1"/>
  <c r="FQ67" i="180"/>
  <c r="FY67" i="180" s="1"/>
  <c r="FP67" i="180"/>
  <c r="GA67" i="180" s="1"/>
  <c r="FO67" i="180"/>
  <c r="FN67" i="180"/>
  <c r="FW67" i="180" s="1"/>
  <c r="FV67" i="180" s="1"/>
  <c r="FX67" i="179"/>
  <c r="FC26" i="179"/>
  <c r="AH26" i="179"/>
  <c r="AG26" i="179"/>
  <c r="FZ67" i="179"/>
  <c r="GB67" i="179"/>
  <c r="FJ69" i="180"/>
  <c r="FK70" i="180"/>
  <c r="AO27" i="177"/>
  <c r="P26" i="177"/>
  <c r="FJ67" i="179"/>
  <c r="FK68" i="179"/>
  <c r="FZ66" i="180"/>
  <c r="GB66" i="180"/>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P28" i="206" l="1"/>
  <c r="AO29" i="206"/>
  <c r="P28" i="205"/>
  <c r="AO29" i="205"/>
  <c r="P28" i="204"/>
  <c r="AO29" i="204"/>
  <c r="P28" i="203"/>
  <c r="AO29" i="203"/>
  <c r="P28" i="202"/>
  <c r="AO29" i="202"/>
  <c r="P28" i="201"/>
  <c r="AO29" i="201"/>
  <c r="P28" i="200"/>
  <c r="AO29" i="200"/>
  <c r="P28" i="199"/>
  <c r="AO29" i="199"/>
  <c r="P28" i="198"/>
  <c r="AO29" i="198"/>
  <c r="P28" i="197"/>
  <c r="AO29" i="197"/>
  <c r="P28" i="196"/>
  <c r="AO29" i="196"/>
  <c r="AO30" i="195"/>
  <c r="P29" i="195"/>
  <c r="P28" i="194"/>
  <c r="AO29" i="194"/>
  <c r="P28" i="193"/>
  <c r="AO29" i="193"/>
  <c r="P28" i="192"/>
  <c r="AO29" i="192"/>
  <c r="AO30" i="191"/>
  <c r="P29" i="191"/>
  <c r="P28" i="190"/>
  <c r="AO29" i="190"/>
  <c r="P28" i="189"/>
  <c r="AO29" i="189"/>
  <c r="FD26" i="179"/>
  <c r="FX68" i="179"/>
  <c r="FE26" i="179"/>
  <c r="GB68" i="179"/>
  <c r="FZ68" i="179"/>
  <c r="BW26" i="179"/>
  <c r="BX26" i="179" s="1"/>
  <c r="FU69" i="179"/>
  <c r="FT69" i="179" s="1"/>
  <c r="FQ69" i="179"/>
  <c r="FY69" i="179" s="1"/>
  <c r="FP69" i="179"/>
  <c r="GA69" i="179" s="1"/>
  <c r="FN69" i="179"/>
  <c r="FW69" i="179" s="1"/>
  <c r="FV69" i="179" s="1"/>
  <c r="FR69" i="179"/>
  <c r="FS70" i="179" s="1"/>
  <c r="FO69" i="179"/>
  <c r="AE27" i="180"/>
  <c r="AD27" i="180"/>
  <c r="FX67" i="180"/>
  <c r="AF27" i="180"/>
  <c r="GK66" i="179"/>
  <c r="FK69" i="179"/>
  <c r="FJ68" i="179"/>
  <c r="AO28" i="177"/>
  <c r="P27" i="177"/>
  <c r="GB67" i="180"/>
  <c r="FZ67" i="180"/>
  <c r="N37" i="178"/>
  <c r="O37" i="178" s="1" a="1"/>
  <c r="O37" i="178" s="1"/>
  <c r="L38" i="178"/>
  <c r="FK71" i="180"/>
  <c r="FJ70" i="180"/>
  <c r="FU68" i="180"/>
  <c r="FT68" i="180" s="1"/>
  <c r="FR68" i="180"/>
  <c r="FS69" i="180" s="1"/>
  <c r="FQ68" i="180"/>
  <c r="FY68" i="180" s="1"/>
  <c r="FP68" i="180"/>
  <c r="GA68" i="180" s="1"/>
  <c r="FN68" i="180"/>
  <c r="FW68" i="180" s="1"/>
  <c r="FV68" i="180" s="1"/>
  <c r="FO68" i="180"/>
  <c r="L20" i="169"/>
  <c r="L14" i="80"/>
  <c r="N14" i="80" s="1"/>
  <c r="O14" i="80" s="1" a="1"/>
  <c r="O14" i="80" s="1"/>
  <c r="AO30" i="206" l="1"/>
  <c r="P29" i="206"/>
  <c r="AO30" i="205"/>
  <c r="P29" i="205"/>
  <c r="AO30" i="204"/>
  <c r="P29" i="204"/>
  <c r="AO30" i="203"/>
  <c r="P29" i="203"/>
  <c r="AO30" i="202"/>
  <c r="P29" i="202"/>
  <c r="AO30" i="201"/>
  <c r="P29" i="201"/>
  <c r="AO30" i="200"/>
  <c r="P29" i="200"/>
  <c r="AO30" i="199"/>
  <c r="P29" i="199"/>
  <c r="AO30" i="198"/>
  <c r="P29" i="198"/>
  <c r="AO30" i="197"/>
  <c r="P29" i="197"/>
  <c r="P29" i="196"/>
  <c r="AO30" i="196"/>
  <c r="AO31" i="195"/>
  <c r="P30" i="195"/>
  <c r="AO30" i="194"/>
  <c r="P29" i="194"/>
  <c r="AO30" i="193"/>
  <c r="P29" i="193"/>
  <c r="AO30" i="192"/>
  <c r="P29" i="192"/>
  <c r="AO31" i="191"/>
  <c r="P30" i="191"/>
  <c r="P29" i="190"/>
  <c r="AO30" i="190"/>
  <c r="AO30" i="189"/>
  <c r="P29" i="189"/>
  <c r="FX69" i="179"/>
  <c r="FF26" i="179"/>
  <c r="AE28" i="180"/>
  <c r="AD28" i="180"/>
  <c r="FU69" i="180"/>
  <c r="FT69" i="180" s="1"/>
  <c r="FR69" i="180"/>
  <c r="FS70" i="180" s="1"/>
  <c r="FQ69" i="180"/>
  <c r="FY69" i="180" s="1"/>
  <c r="FP69" i="180"/>
  <c r="GA69" i="180" s="1"/>
  <c r="FO69" i="180"/>
  <c r="FN69" i="180"/>
  <c r="FW69" i="180" s="1"/>
  <c r="FV69" i="180" s="1"/>
  <c r="FU70" i="179"/>
  <c r="FT70" i="179" s="1"/>
  <c r="FR70" i="179"/>
  <c r="FS71" i="179" s="1"/>
  <c r="FQ70" i="179"/>
  <c r="FY70" i="179" s="1"/>
  <c r="FP70" i="179"/>
  <c r="GA70" i="179" s="1"/>
  <c r="FO70" i="179"/>
  <c r="FN70" i="179"/>
  <c r="FW70" i="179" s="1"/>
  <c r="FV70" i="179" s="1"/>
  <c r="FC27" i="180"/>
  <c r="AH27" i="180"/>
  <c r="AG27" i="180"/>
  <c r="FB26" i="179"/>
  <c r="FA26" i="179" s="1"/>
  <c r="BY26" i="179"/>
  <c r="EX27" i="179"/>
  <c r="EX26" i="179"/>
  <c r="FZ68" i="180"/>
  <c r="GB68" i="180"/>
  <c r="GB69" i="179"/>
  <c r="FZ69" i="179"/>
  <c r="FK72" i="180"/>
  <c r="FJ71" i="180"/>
  <c r="L39" i="178"/>
  <c r="N38" i="178"/>
  <c r="O38" i="178" s="1" a="1"/>
  <c r="O38" i="178" s="1"/>
  <c r="AJ27" i="180"/>
  <c r="AI27" i="180"/>
  <c r="AO29" i="177"/>
  <c r="P28" i="177"/>
  <c r="FX68" i="180"/>
  <c r="AF28" i="180"/>
  <c r="FK70" i="179"/>
  <c r="FJ69" i="179"/>
  <c r="L21" i="169"/>
  <c r="L15" i="80"/>
  <c r="N15" i="80" s="1"/>
  <c r="O15" i="80" s="1" a="1"/>
  <c r="O15" i="80" s="1"/>
  <c r="AO14" i="114"/>
  <c r="P14" i="114" s="1"/>
  <c r="T1" i="114"/>
  <c r="AO31" i="206" l="1"/>
  <c r="P30" i="206"/>
  <c r="AO31" i="205"/>
  <c r="P30" i="205"/>
  <c r="AO31" i="204"/>
  <c r="P30" i="204"/>
  <c r="AO31" i="203"/>
  <c r="P30" i="203"/>
  <c r="AO31" i="202"/>
  <c r="P30" i="202"/>
  <c r="AO31" i="201"/>
  <c r="P30" i="201"/>
  <c r="AO31" i="200"/>
  <c r="P30" i="200"/>
  <c r="AO31" i="199"/>
  <c r="P30" i="199"/>
  <c r="AO31" i="198"/>
  <c r="P30" i="198"/>
  <c r="AO31" i="197"/>
  <c r="P30" i="197"/>
  <c r="AO31" i="196"/>
  <c r="P30" i="196"/>
  <c r="AO32" i="195"/>
  <c r="P31" i="195"/>
  <c r="AO31" i="194"/>
  <c r="P30" i="194"/>
  <c r="AO31" i="193"/>
  <c r="P30" i="193"/>
  <c r="AO31" i="192"/>
  <c r="P30" i="192"/>
  <c r="P31" i="191"/>
  <c r="AO32" i="191"/>
  <c r="AO31" i="190"/>
  <c r="P30" i="190"/>
  <c r="AO31" i="189"/>
  <c r="P30" i="189"/>
  <c r="FE27" i="180"/>
  <c r="FX70" i="179"/>
  <c r="FD27" i="180"/>
  <c r="GK67" i="180"/>
  <c r="AE29" i="180"/>
  <c r="AD29" i="180"/>
  <c r="FR71" i="179"/>
  <c r="FS72" i="179" s="1"/>
  <c r="FQ71" i="179"/>
  <c r="FY71" i="179" s="1"/>
  <c r="FP71" i="179"/>
  <c r="GA71" i="179" s="1"/>
  <c r="FO71" i="179"/>
  <c r="FN71" i="179"/>
  <c r="FW71" i="179" s="1"/>
  <c r="FV71" i="179" s="1"/>
  <c r="FU71" i="179"/>
  <c r="FT71" i="179" s="1"/>
  <c r="FX69" i="180"/>
  <c r="AF29" i="180"/>
  <c r="FK71" i="179"/>
  <c r="FJ70" i="179"/>
  <c r="FK73" i="180"/>
  <c r="FJ72" i="180"/>
  <c r="GB69" i="180"/>
  <c r="FZ69" i="180"/>
  <c r="FR70" i="180"/>
  <c r="FS71" i="180" s="1"/>
  <c r="FQ70" i="180"/>
  <c r="FY70" i="180" s="1"/>
  <c r="FP70" i="180"/>
  <c r="GA70" i="180" s="1"/>
  <c r="FO70" i="180"/>
  <c r="FN70" i="180"/>
  <c r="FW70" i="180" s="1"/>
  <c r="FV70" i="180" s="1"/>
  <c r="FU70" i="180"/>
  <c r="FT70" i="180" s="1"/>
  <c r="AJ28" i="180"/>
  <c r="AI28" i="180"/>
  <c r="AH28" i="180"/>
  <c r="AG28" i="180"/>
  <c r="FC28" i="180"/>
  <c r="AO30" i="177"/>
  <c r="P29" i="177"/>
  <c r="BW27" i="180"/>
  <c r="BX27" i="180" s="1"/>
  <c r="GB70" i="179"/>
  <c r="FZ70" i="179"/>
  <c r="L40" i="178"/>
  <c r="N39" i="178"/>
  <c r="O39" i="178" s="1" a="1"/>
  <c r="O39" i="178" s="1"/>
  <c r="AO15" i="114"/>
  <c r="P15" i="114" s="1"/>
  <c r="L22" i="169"/>
  <c r="L16" i="80"/>
  <c r="N16" i="80" s="1"/>
  <c r="O16" i="80" s="1" a="1"/>
  <c r="O16" i="80" s="1"/>
  <c r="D29" i="13"/>
  <c r="P31" i="206" l="1"/>
  <c r="AO32" i="206"/>
  <c r="P31" i="205"/>
  <c r="AO32" i="205"/>
  <c r="P31" i="204"/>
  <c r="AO32" i="204"/>
  <c r="P31" i="203"/>
  <c r="AO32" i="203"/>
  <c r="P31" i="202"/>
  <c r="AO32" i="202"/>
  <c r="P31" i="201"/>
  <c r="AO32" i="201"/>
  <c r="P31" i="200"/>
  <c r="AO32" i="200"/>
  <c r="P31" i="199"/>
  <c r="AO32" i="199"/>
  <c r="P31" i="198"/>
  <c r="AO32" i="198"/>
  <c r="P31" i="197"/>
  <c r="AO32" i="197"/>
  <c r="P31" i="196"/>
  <c r="AO32" i="196"/>
  <c r="P32" i="195"/>
  <c r="AO33" i="195"/>
  <c r="P31" i="194"/>
  <c r="AO32" i="194"/>
  <c r="P31" i="193"/>
  <c r="AO32" i="193"/>
  <c r="P31" i="192"/>
  <c r="AO32" i="192"/>
  <c r="P32" i="191"/>
  <c r="AO33" i="191"/>
  <c r="P31" i="190"/>
  <c r="AO32" i="190"/>
  <c r="P31" i="189"/>
  <c r="AO32" i="189"/>
  <c r="FX71" i="179"/>
  <c r="FE28" i="180"/>
  <c r="GK68" i="180"/>
  <c r="BW28" i="180"/>
  <c r="BX28" i="180" s="1"/>
  <c r="BY28" i="180" s="1"/>
  <c r="FD28" i="180"/>
  <c r="FK74" i="180"/>
  <c r="FJ73" i="180"/>
  <c r="FK72" i="179"/>
  <c r="FJ71" i="179"/>
  <c r="AH29" i="180"/>
  <c r="AG29" i="180"/>
  <c r="AE30" i="180"/>
  <c r="AD30" i="180"/>
  <c r="FX70" i="180"/>
  <c r="AF30" i="180"/>
  <c r="GB70" i="180"/>
  <c r="FZ70" i="180"/>
  <c r="N40" i="178"/>
  <c r="O40" i="178" s="1" a="1"/>
  <c r="O40" i="178" s="1"/>
  <c r="L41" i="178"/>
  <c r="BY27" i="180"/>
  <c r="FB27" i="180"/>
  <c r="FA27" i="180" s="1"/>
  <c r="EX27" i="180"/>
  <c r="FQ71" i="180"/>
  <c r="FY71" i="180" s="1"/>
  <c r="FP71" i="180"/>
  <c r="GA71" i="180" s="1"/>
  <c r="FO71" i="180"/>
  <c r="FN71" i="180"/>
  <c r="FW71" i="180" s="1"/>
  <c r="FV71" i="180" s="1"/>
  <c r="FU71" i="180"/>
  <c r="FT71" i="180" s="1"/>
  <c r="FR71" i="180"/>
  <c r="FS72" i="180" s="1"/>
  <c r="GB71" i="179"/>
  <c r="FZ71" i="179"/>
  <c r="FQ72" i="179"/>
  <c r="FY72" i="179" s="1"/>
  <c r="FP72" i="179"/>
  <c r="GA72" i="179" s="1"/>
  <c r="FO72" i="179"/>
  <c r="FN72" i="179"/>
  <c r="FW72" i="179" s="1"/>
  <c r="FV72" i="179" s="1"/>
  <c r="FU72" i="179"/>
  <c r="FT72" i="179" s="1"/>
  <c r="FR72" i="179"/>
  <c r="FS73" i="179" s="1"/>
  <c r="P30" i="177"/>
  <c r="AO31" i="177"/>
  <c r="AJ29" i="180"/>
  <c r="AI29" i="180"/>
  <c r="FC29" i="180"/>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P32" i="206" l="1"/>
  <c r="AO33" i="206"/>
  <c r="P32" i="205"/>
  <c r="AO33" i="205"/>
  <c r="P32" i="204"/>
  <c r="AO33" i="204"/>
  <c r="P32" i="203"/>
  <c r="AO33" i="203"/>
  <c r="P32" i="202"/>
  <c r="AO33" i="202"/>
  <c r="P32" i="201"/>
  <c r="AO33" i="201"/>
  <c r="P32" i="200"/>
  <c r="AO33" i="200"/>
  <c r="P32" i="199"/>
  <c r="AO33" i="199"/>
  <c r="P32" i="198"/>
  <c r="AO33" i="198"/>
  <c r="P32" i="197"/>
  <c r="AO33" i="197"/>
  <c r="P32" i="196"/>
  <c r="AO33" i="196"/>
  <c r="P33" i="195"/>
  <c r="AO34" i="195"/>
  <c r="P32" i="194"/>
  <c r="AO33" i="194"/>
  <c r="P32" i="193"/>
  <c r="AO33" i="193"/>
  <c r="P32" i="192"/>
  <c r="AO33" i="192"/>
  <c r="AO34" i="191"/>
  <c r="P33" i="191"/>
  <c r="P32" i="190"/>
  <c r="AO33" i="190"/>
  <c r="P32" i="189"/>
  <c r="AO33" i="189"/>
  <c r="FE29" i="180"/>
  <c r="FD29" i="180"/>
  <c r="FB28" i="180"/>
  <c r="FA28" i="180" s="1"/>
  <c r="GK69" i="180"/>
  <c r="BW29" i="180"/>
  <c r="BX29" i="180" s="1"/>
  <c r="BY29" i="180" s="1"/>
  <c r="AH30" i="180"/>
  <c r="AG30" i="180"/>
  <c r="FO72" i="180"/>
  <c r="FN72" i="180"/>
  <c r="FW72" i="180" s="1"/>
  <c r="FV72" i="180" s="1"/>
  <c r="FU72" i="180"/>
  <c r="FT72" i="180" s="1"/>
  <c r="FR72" i="180"/>
  <c r="FS73" i="180" s="1"/>
  <c r="FQ72" i="180"/>
  <c r="FY72" i="180" s="1"/>
  <c r="FP72" i="180"/>
  <c r="GA72" i="180" s="1"/>
  <c r="FC30" i="180"/>
  <c r="AE31" i="180"/>
  <c r="AD31" i="180"/>
  <c r="FX71" i="180"/>
  <c r="AF31" i="180"/>
  <c r="AO32" i="177"/>
  <c r="P31" i="177"/>
  <c r="GB71" i="180"/>
  <c r="FZ71" i="180"/>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J74" i="180"/>
  <c r="FK75" i="180"/>
  <c r="FX72" i="179"/>
  <c r="AF32" i="179"/>
  <c r="EX28" i="180"/>
  <c r="GB72" i="179"/>
  <c r="FZ72" i="179"/>
  <c r="AJ30" i="180"/>
  <c r="AI30" i="180"/>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AO34" i="206" l="1"/>
  <c r="P33" i="206"/>
  <c r="AO34" i="205"/>
  <c r="P33" i="205"/>
  <c r="AO34" i="204"/>
  <c r="P33" i="204"/>
  <c r="AO34" i="203"/>
  <c r="P33" i="203"/>
  <c r="AO34" i="202"/>
  <c r="P33" i="202"/>
  <c r="AO34" i="201"/>
  <c r="P33" i="201"/>
  <c r="AO34" i="200"/>
  <c r="P33" i="200"/>
  <c r="AO34" i="199"/>
  <c r="P33" i="199"/>
  <c r="AO34" i="198"/>
  <c r="P33" i="198"/>
  <c r="AO34" i="197"/>
  <c r="P33" i="197"/>
  <c r="P33" i="196"/>
  <c r="AO34" i="196"/>
  <c r="AO35" i="195"/>
  <c r="P34" i="195"/>
  <c r="AO34" i="194"/>
  <c r="P33" i="194"/>
  <c r="AO34" i="193"/>
  <c r="P33" i="193"/>
  <c r="AO34" i="192"/>
  <c r="P33" i="192"/>
  <c r="AO35" i="191"/>
  <c r="P34" i="191"/>
  <c r="AO34" i="190"/>
  <c r="P33" i="190"/>
  <c r="AO34" i="189"/>
  <c r="P33" i="189"/>
  <c r="EX29" i="180"/>
  <c r="FB29" i="180"/>
  <c r="FA29" i="180" s="1"/>
  <c r="FE30" i="180"/>
  <c r="FD30" i="180"/>
  <c r="FC32" i="179"/>
  <c r="BW30" i="180"/>
  <c r="BX30" i="180" s="1"/>
  <c r="FC31" i="180"/>
  <c r="GK70" i="180"/>
  <c r="AE33" i="179"/>
  <c r="AD33" i="179"/>
  <c r="AI32" i="179"/>
  <c r="AJ32" i="179"/>
  <c r="FX73" i="179"/>
  <c r="AF33" i="179"/>
  <c r="AJ31" i="180"/>
  <c r="AI31" i="180"/>
  <c r="FK74" i="179"/>
  <c r="FJ73" i="179"/>
  <c r="GB72" i="180"/>
  <c r="FZ72" i="180"/>
  <c r="GB73" i="179"/>
  <c r="FZ73" i="179"/>
  <c r="FU73" i="180"/>
  <c r="FT73" i="180" s="1"/>
  <c r="FR73" i="180"/>
  <c r="FS74" i="180" s="1"/>
  <c r="FQ73" i="180"/>
  <c r="FY73" i="180" s="1"/>
  <c r="FP73" i="180"/>
  <c r="GA73" i="180" s="1"/>
  <c r="FO73" i="180"/>
  <c r="FN73" i="180"/>
  <c r="FW73" i="180" s="1"/>
  <c r="FV73" i="180" s="1"/>
  <c r="FU74" i="179"/>
  <c r="FT74" i="179" s="1"/>
  <c r="FR74" i="179"/>
  <c r="FS75" i="179" s="1"/>
  <c r="FQ74" i="179"/>
  <c r="FY74" i="179" s="1"/>
  <c r="FP74" i="179"/>
  <c r="GA74" i="179" s="1"/>
  <c r="FO74" i="179"/>
  <c r="FN74" i="179"/>
  <c r="FW74" i="179" s="1"/>
  <c r="FV74" i="179" s="1"/>
  <c r="AH32" i="179"/>
  <c r="AG32" i="179"/>
  <c r="P32" i="177"/>
  <c r="AO33" i="177"/>
  <c r="FK76" i="180"/>
  <c r="FJ75" i="180"/>
  <c r="AD32" i="180"/>
  <c r="AE32" i="180"/>
  <c r="FX72" i="180"/>
  <c r="AF32" i="180"/>
  <c r="AH31" i="180"/>
  <c r="AG31" i="180"/>
  <c r="L43" i="178"/>
  <c r="N42" i="178"/>
  <c r="O42" i="178" s="1" a="1"/>
  <c r="O42" i="178" s="1"/>
  <c r="L25" i="169"/>
  <c r="L19" i="80"/>
  <c r="N19" i="80" s="1"/>
  <c r="O19" i="80" s="1" a="1"/>
  <c r="O19" i="80" s="1"/>
  <c r="AO20" i="114"/>
  <c r="P19" i="114"/>
  <c r="GE70" i="84"/>
  <c r="AQ30" i="84" s="1"/>
  <c r="GD70" i="84"/>
  <c r="AP30" i="84" s="1"/>
  <c r="AO35" i="206" l="1"/>
  <c r="P34" i="206"/>
  <c r="AO35" i="205"/>
  <c r="P34" i="205"/>
  <c r="AO35" i="204"/>
  <c r="P34" i="204"/>
  <c r="AO35" i="203"/>
  <c r="P34" i="203"/>
  <c r="AO35" i="202"/>
  <c r="P34" i="202"/>
  <c r="AO35" i="201"/>
  <c r="P34" i="201"/>
  <c r="AO35" i="200"/>
  <c r="P34" i="200"/>
  <c r="AO35" i="199"/>
  <c r="P34" i="199"/>
  <c r="AO35" i="198"/>
  <c r="P34" i="198"/>
  <c r="AO35" i="197"/>
  <c r="P34" i="197"/>
  <c r="AO35" i="196"/>
  <c r="P34" i="196"/>
  <c r="P35" i="195"/>
  <c r="AO36" i="195"/>
  <c r="AO35" i="194"/>
  <c r="P34" i="194"/>
  <c r="AO35" i="193"/>
  <c r="P34" i="193"/>
  <c r="AO35" i="192"/>
  <c r="P34" i="192"/>
  <c r="P35" i="191"/>
  <c r="AO36" i="191"/>
  <c r="AO35" i="190"/>
  <c r="P34" i="190"/>
  <c r="AO35" i="189"/>
  <c r="P34" i="189"/>
  <c r="FD32" i="179"/>
  <c r="GK71" i="180"/>
  <c r="FD31" i="180"/>
  <c r="BW32" i="179"/>
  <c r="BX32" i="179" s="1"/>
  <c r="BY32" i="179" s="1"/>
  <c r="AH33" i="179"/>
  <c r="AG33" i="179"/>
  <c r="FE32" i="179"/>
  <c r="FC33" i="179"/>
  <c r="GB73" i="180"/>
  <c r="FZ73" i="180"/>
  <c r="AJ33" i="179"/>
  <c r="AI33" i="179"/>
  <c r="BW31" i="180"/>
  <c r="BX31" i="180" s="1"/>
  <c r="AE33" i="180"/>
  <c r="AD33" i="180"/>
  <c r="FK77" i="180"/>
  <c r="FJ76" i="180"/>
  <c r="P33" i="177"/>
  <c r="AO34" i="177"/>
  <c r="AE34" i="179"/>
  <c r="AD34" i="179"/>
  <c r="FX73" i="180"/>
  <c r="AF33" i="180"/>
  <c r="BY30" i="180"/>
  <c r="FB30" i="180"/>
  <c r="FA30" i="180" s="1"/>
  <c r="EX30" i="180"/>
  <c r="FC32" i="180"/>
  <c r="N43" i="178"/>
  <c r="O43" i="178" s="1" a="1"/>
  <c r="O43" i="178" s="1"/>
  <c r="L44" i="178"/>
  <c r="FX74" i="179"/>
  <c r="AF34" i="179"/>
  <c r="GB74" i="179"/>
  <c r="FZ74" i="179"/>
  <c r="FU74" i="180"/>
  <c r="FT74" i="180" s="1"/>
  <c r="FR74" i="180"/>
  <c r="FS75" i="180" s="1"/>
  <c r="FQ74" i="180"/>
  <c r="FY74" i="180" s="1"/>
  <c r="FP74" i="180"/>
  <c r="GA74" i="180" s="1"/>
  <c r="FO74" i="180"/>
  <c r="FN74" i="180"/>
  <c r="FW74" i="180" s="1"/>
  <c r="FV74" i="180" s="1"/>
  <c r="AJ32" i="180"/>
  <c r="AI32" i="180"/>
  <c r="AH32" i="180"/>
  <c r="AG32" i="180"/>
  <c r="FU75" i="179"/>
  <c r="FT75" i="179" s="1"/>
  <c r="FR75" i="179"/>
  <c r="FS76" i="179" s="1"/>
  <c r="FQ75" i="179"/>
  <c r="FY75" i="179" s="1"/>
  <c r="FP75" i="179"/>
  <c r="GA75" i="179" s="1"/>
  <c r="FO75" i="179"/>
  <c r="FN75" i="179"/>
  <c r="FW75" i="179" s="1"/>
  <c r="FV75" i="179" s="1"/>
  <c r="FK75" i="179"/>
  <c r="FJ74" i="179"/>
  <c r="GK72" i="179"/>
  <c r="FE31" i="180"/>
  <c r="L26" i="169"/>
  <c r="L20" i="80"/>
  <c r="N20" i="80" s="1"/>
  <c r="O20" i="80" s="1" a="1"/>
  <c r="O20" i="80" s="1"/>
  <c r="AO21" i="114"/>
  <c r="P20" i="114"/>
  <c r="CQ1" i="168"/>
  <c r="P35" i="206" l="1"/>
  <c r="AO36" i="206"/>
  <c r="P35" i="205"/>
  <c r="AO36" i="205"/>
  <c r="P35" i="204"/>
  <c r="AO36" i="204"/>
  <c r="P35" i="203"/>
  <c r="AO36" i="203"/>
  <c r="P35" i="202"/>
  <c r="AO36" i="202"/>
  <c r="P35" i="201"/>
  <c r="AO36" i="201"/>
  <c r="P35" i="200"/>
  <c r="AO36" i="200"/>
  <c r="P35" i="199"/>
  <c r="AO36" i="199"/>
  <c r="P35" i="198"/>
  <c r="AO36" i="198"/>
  <c r="P35" i="197"/>
  <c r="AO36" i="197"/>
  <c r="P35" i="196"/>
  <c r="AO36" i="196"/>
  <c r="P36" i="195"/>
  <c r="AO37" i="195"/>
  <c r="P35" i="194"/>
  <c r="AO36" i="194"/>
  <c r="P35" i="193"/>
  <c r="AO36" i="193"/>
  <c r="P35" i="192"/>
  <c r="AO36" i="192"/>
  <c r="P36" i="191"/>
  <c r="AO37" i="191"/>
  <c r="P35" i="190"/>
  <c r="AO36" i="190"/>
  <c r="P35" i="189"/>
  <c r="AO36" i="189"/>
  <c r="FE32" i="180"/>
  <c r="FE33" i="179"/>
  <c r="FD33" i="179"/>
  <c r="FD32" i="180"/>
  <c r="EX32" i="179"/>
  <c r="FB32" i="179"/>
  <c r="FA32" i="179" s="1"/>
  <c r="AJ33" i="180"/>
  <c r="AI33" i="180"/>
  <c r="BW33" i="179"/>
  <c r="BX33" i="179" s="1"/>
  <c r="FC34" i="179"/>
  <c r="GK73" i="179"/>
  <c r="BY31" i="180"/>
  <c r="FB31" i="180"/>
  <c r="FA31" i="180" s="1"/>
  <c r="EX31" i="180"/>
  <c r="FZ74" i="180"/>
  <c r="GB74" i="180"/>
  <c r="BW32" i="180"/>
  <c r="BX32" i="180" s="1"/>
  <c r="GK72" i="180"/>
  <c r="FX75" i="179"/>
  <c r="AF35" i="179"/>
  <c r="AO35" i="177"/>
  <c r="P34" i="177"/>
  <c r="FX74" i="180"/>
  <c r="AF34" i="180"/>
  <c r="AE35" i="179"/>
  <c r="AD35" i="179"/>
  <c r="FJ75" i="179"/>
  <c r="FK76" i="179"/>
  <c r="AJ34" i="179"/>
  <c r="AI34" i="179"/>
  <c r="FZ75" i="179"/>
  <c r="GB75" i="179"/>
  <c r="FU75" i="180"/>
  <c r="FT75" i="180" s="1"/>
  <c r="FR75" i="180"/>
  <c r="FS76" i="180" s="1"/>
  <c r="FQ75" i="180"/>
  <c r="FY75" i="180" s="1"/>
  <c r="FP75" i="180"/>
  <c r="GA75" i="180" s="1"/>
  <c r="FO75" i="180"/>
  <c r="FN75" i="180"/>
  <c r="FW75" i="180" s="1"/>
  <c r="FV75" i="180" s="1"/>
  <c r="FU76" i="179"/>
  <c r="FT76" i="179" s="1"/>
  <c r="FR76" i="179"/>
  <c r="FS77" i="179" s="1"/>
  <c r="FQ76" i="179"/>
  <c r="FY76" i="179" s="1"/>
  <c r="FP76" i="179"/>
  <c r="GA76" i="179" s="1"/>
  <c r="FO76" i="179"/>
  <c r="FN76" i="179"/>
  <c r="FW76" i="179" s="1"/>
  <c r="FV76" i="179" s="1"/>
  <c r="AH34" i="179"/>
  <c r="AG34" i="179"/>
  <c r="FK78" i="180"/>
  <c r="FJ77" i="180"/>
  <c r="AE34" i="180"/>
  <c r="AD34" i="180"/>
  <c r="L45" i="178"/>
  <c r="N44" i="178"/>
  <c r="O44" i="178" s="1" a="1"/>
  <c r="O44" i="178" s="1"/>
  <c r="FC33" i="180"/>
  <c r="AH33" i="180"/>
  <c r="AG33" i="180"/>
  <c r="L27" i="169"/>
  <c r="L21" i="80"/>
  <c r="AO22" i="114"/>
  <c r="P21" i="114"/>
  <c r="P36" i="206" l="1"/>
  <c r="AO37" i="206"/>
  <c r="P36" i="205"/>
  <c r="AO37" i="205"/>
  <c r="P36" i="204"/>
  <c r="AO37" i="204"/>
  <c r="P36" i="203"/>
  <c r="AO37" i="203"/>
  <c r="P36" i="202"/>
  <c r="AO37" i="202"/>
  <c r="P36" i="201"/>
  <c r="AO37" i="201"/>
  <c r="P36" i="200"/>
  <c r="AO37" i="200"/>
  <c r="P36" i="199"/>
  <c r="AO37" i="199"/>
  <c r="P36" i="198"/>
  <c r="AO37" i="198"/>
  <c r="P36" i="197"/>
  <c r="AO37" i="197"/>
  <c r="P36" i="196"/>
  <c r="AO37" i="196"/>
  <c r="P37" i="195"/>
  <c r="AO38" i="195"/>
  <c r="P36" i="194"/>
  <c r="AO37" i="194"/>
  <c r="P36" i="193"/>
  <c r="AO37" i="193"/>
  <c r="P36" i="192"/>
  <c r="AO37" i="192"/>
  <c r="AO38" i="191"/>
  <c r="P37" i="191"/>
  <c r="P36" i="190"/>
  <c r="AO37" i="190"/>
  <c r="P36" i="189"/>
  <c r="AO37" i="189"/>
  <c r="FE34" i="179"/>
  <c r="FE33" i="180"/>
  <c r="FD34" i="179"/>
  <c r="BW33" i="180"/>
  <c r="BX33" i="180" s="1"/>
  <c r="BY33" i="180" s="1"/>
  <c r="GK73" i="180"/>
  <c r="GB75" i="180"/>
  <c r="FZ75" i="180"/>
  <c r="FU76" i="180"/>
  <c r="FT76" i="180" s="1"/>
  <c r="FR76" i="180"/>
  <c r="FS77" i="180" s="1"/>
  <c r="FQ76" i="180"/>
  <c r="FY76" i="180" s="1"/>
  <c r="FP76" i="180"/>
  <c r="GA76" i="180" s="1"/>
  <c r="FO76" i="180"/>
  <c r="FN76" i="180"/>
  <c r="FW76" i="180" s="1"/>
  <c r="FV76" i="180" s="1"/>
  <c r="AJ35" i="179"/>
  <c r="AI35" i="179"/>
  <c r="AJ34" i="180"/>
  <c r="AI34" i="180"/>
  <c r="FK77" i="179"/>
  <c r="FJ76" i="179"/>
  <c r="FC35" i="179"/>
  <c r="BY32" i="180"/>
  <c r="FB32" i="180"/>
  <c r="FA32" i="180" s="1"/>
  <c r="EX32" i="180"/>
  <c r="FX76" i="179"/>
  <c r="AF36" i="179"/>
  <c r="BW34" i="179"/>
  <c r="BX34" i="179" s="1"/>
  <c r="AH34" i="180"/>
  <c r="AG34" i="180"/>
  <c r="FK79" i="180"/>
  <c r="FJ78" i="180"/>
  <c r="FD33" i="180"/>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E35" i="180"/>
  <c r="AD35" i="180"/>
  <c r="AH35" i="179"/>
  <c r="AG35" i="179"/>
  <c r="AE36" i="179"/>
  <c r="AD36" i="179"/>
  <c r="FC34" i="180"/>
  <c r="FX75" i="180"/>
  <c r="AF35" i="180"/>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AO38" i="206" l="1"/>
  <c r="P37" i="206"/>
  <c r="AO38" i="205"/>
  <c r="P37" i="205"/>
  <c r="AO38" i="204"/>
  <c r="P37" i="204"/>
  <c r="AO38" i="203"/>
  <c r="P37" i="203"/>
  <c r="AO38" i="202"/>
  <c r="P37" i="202"/>
  <c r="AO38" i="201"/>
  <c r="P37" i="201"/>
  <c r="AO38" i="200"/>
  <c r="P37" i="200"/>
  <c r="AO38" i="199"/>
  <c r="P37" i="199"/>
  <c r="AO38" i="198"/>
  <c r="P37" i="198"/>
  <c r="AO38" i="197"/>
  <c r="P37" i="197"/>
  <c r="AO38" i="196"/>
  <c r="P37" i="196"/>
  <c r="AO39" i="195"/>
  <c r="P38" i="195"/>
  <c r="AO38" i="194"/>
  <c r="P37" i="194"/>
  <c r="AO38" i="193"/>
  <c r="P37" i="193"/>
  <c r="AO38" i="192"/>
  <c r="P37" i="192"/>
  <c r="AO39" i="191"/>
  <c r="P38" i="191"/>
  <c r="AO38" i="190"/>
  <c r="P37" i="190"/>
  <c r="AO38" i="189"/>
  <c r="P37" i="189"/>
  <c r="FE35" i="179"/>
  <c r="FB33" i="180"/>
  <c r="FA33" i="180" s="1"/>
  <c r="GK74" i="180"/>
  <c r="BW34" i="180"/>
  <c r="BX34" i="180" s="1"/>
  <c r="FB34" i="180" s="1"/>
  <c r="FA34" i="180" s="1"/>
  <c r="FD35" i="179"/>
  <c r="AE36" i="180"/>
  <c r="AD36" i="180"/>
  <c r="L47" i="178"/>
  <c r="N46" i="178"/>
  <c r="O46" i="178" s="1" a="1"/>
  <c r="O46" i="178" s="1"/>
  <c r="FX76" i="180"/>
  <c r="AF36" i="180"/>
  <c r="AH35" i="180"/>
  <c r="AG35" i="180"/>
  <c r="AE37" i="179"/>
  <c r="AD37" i="179"/>
  <c r="GB76" i="180"/>
  <c r="FZ76" i="180"/>
  <c r="FK80" i="180"/>
  <c r="FJ79" i="180"/>
  <c r="FU77" i="180"/>
  <c r="FT77" i="180" s="1"/>
  <c r="FR77" i="180"/>
  <c r="FS78" i="180" s="1"/>
  <c r="FQ77" i="180"/>
  <c r="FY77" i="180" s="1"/>
  <c r="FP77" i="180"/>
  <c r="GA77" i="180" s="1"/>
  <c r="FO77" i="180"/>
  <c r="FN77" i="180"/>
  <c r="FW77" i="180" s="1"/>
  <c r="FV77" i="180" s="1"/>
  <c r="FD34" i="180"/>
  <c r="FC36" i="179"/>
  <c r="FU78" i="179"/>
  <c r="FT78" i="179" s="1"/>
  <c r="FR78" i="179"/>
  <c r="FS79" i="179" s="1"/>
  <c r="FQ78" i="179"/>
  <c r="FY78" i="179" s="1"/>
  <c r="FP78" i="179"/>
  <c r="GA78" i="179" s="1"/>
  <c r="FO78" i="179"/>
  <c r="FN78" i="179"/>
  <c r="FW78" i="179" s="1"/>
  <c r="FV78" i="179" s="1"/>
  <c r="AJ36" i="179"/>
  <c r="AI36" i="179"/>
  <c r="BW35" i="179"/>
  <c r="BX35" i="179" s="1"/>
  <c r="AJ35" i="180"/>
  <c r="AI35" i="180"/>
  <c r="FB34" i="179"/>
  <c r="FA34" i="179" s="1"/>
  <c r="BY34" i="179"/>
  <c r="EX34" i="179"/>
  <c r="AH36" i="179"/>
  <c r="AG36" i="179"/>
  <c r="GK75" i="179"/>
  <c r="EX33" i="180"/>
  <c r="AO37" i="177"/>
  <c r="P36" i="177"/>
  <c r="GB77" i="179"/>
  <c r="FZ77" i="179"/>
  <c r="FC35" i="180"/>
  <c r="FK78" i="179"/>
  <c r="FJ77" i="179"/>
  <c r="FX77" i="179"/>
  <c r="AF37" i="179"/>
  <c r="FE34" i="180"/>
  <c r="L29" i="169"/>
  <c r="L23" i="80"/>
  <c r="N23" i="80" s="1"/>
  <c r="O23" i="80" s="1" a="1"/>
  <c r="O23" i="80" s="1"/>
  <c r="AO24" i="114"/>
  <c r="P23" i="114"/>
  <c r="AH2" i="168"/>
  <c r="AO39" i="206" l="1"/>
  <c r="P38" i="206"/>
  <c r="AO39" i="205"/>
  <c r="P38" i="205"/>
  <c r="AO39" i="204"/>
  <c r="P38" i="204"/>
  <c r="AO39" i="203"/>
  <c r="P38" i="203"/>
  <c r="AO39" i="202"/>
  <c r="P38" i="202"/>
  <c r="AO39" i="201"/>
  <c r="P38" i="201"/>
  <c r="AO39" i="200"/>
  <c r="P38" i="200"/>
  <c r="AO39" i="199"/>
  <c r="P38" i="199"/>
  <c r="AO39" i="198"/>
  <c r="P38" i="198"/>
  <c r="AO39" i="197"/>
  <c r="P38" i="197"/>
  <c r="AO39" i="196"/>
  <c r="P38" i="196"/>
  <c r="P39" i="195"/>
  <c r="AO40" i="195"/>
  <c r="AO39" i="194"/>
  <c r="P38" i="194"/>
  <c r="AO39" i="193"/>
  <c r="P38" i="193"/>
  <c r="AO39" i="192"/>
  <c r="P38" i="192"/>
  <c r="P39" i="191"/>
  <c r="AO40" i="191"/>
  <c r="AO39" i="190"/>
  <c r="P38" i="190"/>
  <c r="AO39" i="189"/>
  <c r="P38" i="189"/>
  <c r="FD35" i="180"/>
  <c r="GK75" i="180"/>
  <c r="GK76" i="179"/>
  <c r="EX34" i="180"/>
  <c r="BW36" i="179"/>
  <c r="BX36" i="179" s="1"/>
  <c r="BY36" i="179" s="1"/>
  <c r="FD36" i="179"/>
  <c r="FE36" i="179"/>
  <c r="BY34" i="180"/>
  <c r="BW35" i="180"/>
  <c r="BX35" i="180" s="1"/>
  <c r="BY35" i="180" s="1"/>
  <c r="FC37" i="179"/>
  <c r="AD37" i="180"/>
  <c r="AE37" i="180"/>
  <c r="FE35" i="180"/>
  <c r="FX77" i="180"/>
  <c r="AF37" i="180"/>
  <c r="AH36" i="180"/>
  <c r="AG36" i="180"/>
  <c r="BY35" i="179"/>
  <c r="FB35" i="179"/>
  <c r="FA35" i="179" s="1"/>
  <c r="EX35" i="179"/>
  <c r="GB77" i="180"/>
  <c r="FZ77" i="180"/>
  <c r="N47" i="178"/>
  <c r="O47" i="178" s="1" a="1"/>
  <c r="O47" i="178" s="1"/>
  <c r="L48" i="178"/>
  <c r="AO38" i="177"/>
  <c r="P37" i="177"/>
  <c r="AH37" i="179"/>
  <c r="AG37" i="179"/>
  <c r="FR78" i="180"/>
  <c r="FS79" i="180" s="1"/>
  <c r="FQ78" i="180"/>
  <c r="FY78" i="180" s="1"/>
  <c r="FP78" i="180"/>
  <c r="GA78" i="180" s="1"/>
  <c r="FO78" i="180"/>
  <c r="FN78" i="180"/>
  <c r="FW78" i="180" s="1"/>
  <c r="FV78" i="180" s="1"/>
  <c r="FU78" i="180"/>
  <c r="FT78" i="180" s="1"/>
  <c r="FC36" i="180"/>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FK81" i="180"/>
  <c r="FJ80" i="180"/>
  <c r="GB78" i="179"/>
  <c r="FZ78" i="179"/>
  <c r="AJ36" i="180"/>
  <c r="AI36"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P39" i="206" l="1"/>
  <c r="AO40" i="206"/>
  <c r="P39" i="205"/>
  <c r="AO40" i="205"/>
  <c r="P39" i="204"/>
  <c r="AO40" i="204"/>
  <c r="P39" i="203"/>
  <c r="AO40" i="203"/>
  <c r="P39" i="202"/>
  <c r="AO40" i="202"/>
  <c r="P39" i="201"/>
  <c r="AO40" i="201"/>
  <c r="P39" i="200"/>
  <c r="AO40" i="200"/>
  <c r="P39" i="199"/>
  <c r="AO40" i="199"/>
  <c r="P39" i="198"/>
  <c r="AO40" i="198"/>
  <c r="P39" i="197"/>
  <c r="AO40" i="197"/>
  <c r="P39" i="196"/>
  <c r="AO40" i="196"/>
  <c r="P40" i="195"/>
  <c r="AO41" i="195"/>
  <c r="P39" i="194"/>
  <c r="AO40" i="194"/>
  <c r="P39" i="193"/>
  <c r="AO40" i="193"/>
  <c r="P39" i="192"/>
  <c r="AO40" i="192"/>
  <c r="P40" i="191"/>
  <c r="AO41" i="191"/>
  <c r="P39" i="190"/>
  <c r="AO40" i="190"/>
  <c r="P39" i="189"/>
  <c r="AO40" i="189"/>
  <c r="FE37" i="179"/>
  <c r="FD37" i="179"/>
  <c r="FB36" i="179"/>
  <c r="FA36" i="179" s="1"/>
  <c r="EX35" i="180"/>
  <c r="FB35" i="180"/>
  <c r="FA35" i="180" s="1"/>
  <c r="BW36" i="180"/>
  <c r="BX36" i="180" s="1"/>
  <c r="BY36" i="180" s="1"/>
  <c r="FE36" i="180"/>
  <c r="AH37" i="180"/>
  <c r="AG37" i="180"/>
  <c r="FD36" i="180"/>
  <c r="GB78" i="180"/>
  <c r="FZ78" i="180"/>
  <c r="AJ38" i="179"/>
  <c r="AI38" i="179"/>
  <c r="P38" i="177"/>
  <c r="AO39" i="177"/>
  <c r="FC37" i="180"/>
  <c r="L49" i="178"/>
  <c r="N48" i="178"/>
  <c r="O48" i="178" s="1" a="1"/>
  <c r="O48" i="178" s="1"/>
  <c r="FQ79" i="180"/>
  <c r="FY79" i="180" s="1"/>
  <c r="FP79" i="180"/>
  <c r="GA79" i="180" s="1"/>
  <c r="FO79" i="180"/>
  <c r="FN79" i="180"/>
  <c r="FW79" i="180" s="1"/>
  <c r="FV79" i="180" s="1"/>
  <c r="FU79" i="180"/>
  <c r="FT79" i="180" s="1"/>
  <c r="FR79" i="180"/>
  <c r="FS80" i="180" s="1"/>
  <c r="FX79" i="179"/>
  <c r="AF39" i="179"/>
  <c r="FK82" i="180"/>
  <c r="FJ81" i="180"/>
  <c r="AH38" i="179"/>
  <c r="AG38" i="179"/>
  <c r="BW37" i="179"/>
  <c r="BX37" i="179" s="1"/>
  <c r="GB79" i="179"/>
  <c r="FZ79" i="179"/>
  <c r="FC38" i="179"/>
  <c r="GK76" i="180"/>
  <c r="GK77" i="179"/>
  <c r="AJ37" i="180"/>
  <c r="AI37" i="180"/>
  <c r="AE38" i="180"/>
  <c r="AD38" i="180"/>
  <c r="EX36" i="179"/>
  <c r="AE39" i="179"/>
  <c r="AD39" i="179"/>
  <c r="FQ80" i="179"/>
  <c r="FY80" i="179" s="1"/>
  <c r="FP80" i="179"/>
  <c r="GA80" i="179" s="1"/>
  <c r="FO80" i="179"/>
  <c r="FN80" i="179"/>
  <c r="FW80" i="179" s="1"/>
  <c r="FV80" i="179" s="1"/>
  <c r="FU80" i="179"/>
  <c r="FT80" i="179" s="1"/>
  <c r="FR80" i="179"/>
  <c r="FS81" i="179" s="1"/>
  <c r="FK80" i="179"/>
  <c r="FJ79" i="179"/>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P40" i="206" l="1"/>
  <c r="AO41" i="206"/>
  <c r="P40" i="205"/>
  <c r="AO41" i="205"/>
  <c r="P40" i="204"/>
  <c r="AO41" i="204"/>
  <c r="P40" i="203"/>
  <c r="AO41" i="203"/>
  <c r="P40" i="202"/>
  <c r="AO41" i="202"/>
  <c r="P40" i="201"/>
  <c r="AO41" i="201"/>
  <c r="P40" i="200"/>
  <c r="AO41" i="200"/>
  <c r="P40" i="199"/>
  <c r="AO41" i="199"/>
  <c r="P40" i="198"/>
  <c r="AO41" i="198"/>
  <c r="P40" i="197"/>
  <c r="AO41" i="197"/>
  <c r="P40" i="196"/>
  <c r="AO41" i="196"/>
  <c r="AO42" i="195"/>
  <c r="P41" i="195"/>
  <c r="P40" i="194"/>
  <c r="AO41" i="194"/>
  <c r="P40" i="193"/>
  <c r="AO41" i="193"/>
  <c r="P40" i="192"/>
  <c r="AO41" i="192"/>
  <c r="AO42" i="191"/>
  <c r="P41" i="191"/>
  <c r="P40" i="190"/>
  <c r="AO41" i="190"/>
  <c r="P40" i="189"/>
  <c r="AO41" i="189"/>
  <c r="FE38" i="179"/>
  <c r="BW38" i="179"/>
  <c r="BX38" i="179" s="1"/>
  <c r="BY38" i="179" s="1"/>
  <c r="BW37" i="180"/>
  <c r="BX37" i="180" s="1"/>
  <c r="BY37" i="180" s="1"/>
  <c r="FE37" i="180"/>
  <c r="EX36" i="180"/>
  <c r="FB36" i="180"/>
  <c r="FA36" i="180" s="1"/>
  <c r="FK83" i="180"/>
  <c r="FJ82" i="180"/>
  <c r="FD38" i="179"/>
  <c r="AH38" i="180"/>
  <c r="AG38" i="180"/>
  <c r="AH39" i="179"/>
  <c r="AG39" i="179"/>
  <c r="FR80" i="180"/>
  <c r="FS81" i="180" s="1"/>
  <c r="FQ80" i="180"/>
  <c r="FY80" i="180" s="1"/>
  <c r="FP80" i="180"/>
  <c r="GA80" i="180" s="1"/>
  <c r="FO80" i="180"/>
  <c r="FN80" i="180"/>
  <c r="FW80" i="180" s="1"/>
  <c r="FV80" i="180" s="1"/>
  <c r="FU80" i="180"/>
  <c r="FT80" i="180" s="1"/>
  <c r="AJ38" i="180"/>
  <c r="AI38" i="180"/>
  <c r="FO81" i="179"/>
  <c r="FN81" i="179"/>
  <c r="FW81" i="179" s="1"/>
  <c r="FV81" i="179" s="1"/>
  <c r="FU81" i="179"/>
  <c r="FT81" i="179" s="1"/>
  <c r="FR81" i="179"/>
  <c r="FS82" i="179" s="1"/>
  <c r="FQ81" i="179"/>
  <c r="FY81" i="179" s="1"/>
  <c r="FP81" i="179"/>
  <c r="GA81" i="179" s="1"/>
  <c r="AE39" i="180"/>
  <c r="AD39" i="180"/>
  <c r="FX79" i="180"/>
  <c r="AF39" i="180"/>
  <c r="AE40" i="179"/>
  <c r="AD40" i="179"/>
  <c r="FC38" i="180"/>
  <c r="FX80" i="179"/>
  <c r="AF40" i="179"/>
  <c r="GK78" i="179"/>
  <c r="GB79" i="180"/>
  <c r="FZ79" i="180"/>
  <c r="GB80" i="179"/>
  <c r="FZ80" i="179"/>
  <c r="AJ39" i="179"/>
  <c r="AI39" i="179"/>
  <c r="L50" i="178"/>
  <c r="N49" i="178"/>
  <c r="O49" i="178" s="1" a="1"/>
  <c r="O49" i="178" s="1"/>
  <c r="FD37" i="180"/>
  <c r="FC39" i="179"/>
  <c r="BY37" i="179"/>
  <c r="FB37" i="179"/>
  <c r="FA37" i="179" s="1"/>
  <c r="EX37" i="179"/>
  <c r="P39" i="177"/>
  <c r="AO40" i="177"/>
  <c r="FK81" i="179"/>
  <c r="FJ80" i="179"/>
  <c r="GK77" i="180"/>
  <c r="L32" i="169"/>
  <c r="L26" i="80"/>
  <c r="N26" i="80" s="1"/>
  <c r="O26" i="80" s="1" a="1"/>
  <c r="O26" i="80" s="1"/>
  <c r="AO27" i="114"/>
  <c r="P26" i="114"/>
  <c r="AE2" i="13"/>
  <c r="AO42" i="206" l="1"/>
  <c r="P41" i="206"/>
  <c r="AO42" i="205"/>
  <c r="P41" i="205"/>
  <c r="AO42" i="204"/>
  <c r="P41" i="204"/>
  <c r="AO42" i="203"/>
  <c r="P41" i="203"/>
  <c r="AO42" i="202"/>
  <c r="P41" i="202"/>
  <c r="P41" i="201"/>
  <c r="AO42" i="201"/>
  <c r="AO42" i="200"/>
  <c r="P41" i="200"/>
  <c r="AO42" i="199"/>
  <c r="P41" i="199"/>
  <c r="AO42" i="198"/>
  <c r="P41" i="198"/>
  <c r="AO42" i="197"/>
  <c r="P41" i="197"/>
  <c r="AO42" i="196"/>
  <c r="P41" i="196"/>
  <c r="AO43" i="195"/>
  <c r="P42" i="195"/>
  <c r="AO42" i="194"/>
  <c r="P41" i="194"/>
  <c r="AO42" i="193"/>
  <c r="P41" i="193"/>
  <c r="AO42" i="192"/>
  <c r="P41" i="192"/>
  <c r="AO43" i="191"/>
  <c r="P42" i="191"/>
  <c r="P41" i="190"/>
  <c r="AO42" i="190"/>
  <c r="AO42" i="189"/>
  <c r="P41" i="189"/>
  <c r="FE39" i="179"/>
  <c r="EX38" i="179"/>
  <c r="BW39" i="179"/>
  <c r="BX39" i="179" s="1"/>
  <c r="FB39" i="179" s="1"/>
  <c r="FA39" i="179" s="1"/>
  <c r="BW38" i="180"/>
  <c r="BX38" i="180" s="1"/>
  <c r="FB38" i="180" s="1"/>
  <c r="FA38" i="180" s="1"/>
  <c r="FE38" i="180"/>
  <c r="FB38" i="179"/>
  <c r="FA38" i="179" s="1"/>
  <c r="FB37" i="180"/>
  <c r="FA37" i="180" s="1"/>
  <c r="EX37" i="180"/>
  <c r="FD39" i="179"/>
  <c r="GK79" i="179"/>
  <c r="FD38" i="180"/>
  <c r="FU82" i="179"/>
  <c r="FT82" i="179" s="1"/>
  <c r="FR82" i="179"/>
  <c r="FS83" i="179" s="1"/>
  <c r="FQ82" i="179"/>
  <c r="FY82" i="179" s="1"/>
  <c r="FP82" i="179"/>
  <c r="GA82" i="179" s="1"/>
  <c r="FO82" i="179"/>
  <c r="FN82" i="179"/>
  <c r="FW82" i="179" s="1"/>
  <c r="FV82" i="179" s="1"/>
  <c r="FK82" i="179"/>
  <c r="FJ81" i="179"/>
  <c r="FX81" i="179"/>
  <c r="AF41" i="179"/>
  <c r="FK84" i="180"/>
  <c r="FJ83" i="180"/>
  <c r="AE41" i="179"/>
  <c r="AD41" i="179"/>
  <c r="AE40" i="180"/>
  <c r="AD40" i="180"/>
  <c r="AO41" i="177"/>
  <c r="P40" i="177"/>
  <c r="FX80" i="180"/>
  <c r="AF40" i="180"/>
  <c r="GB81" i="179"/>
  <c r="FZ81" i="179"/>
  <c r="AH40" i="179"/>
  <c r="AG40" i="179"/>
  <c r="FC40" i="179"/>
  <c r="N50" i="178"/>
  <c r="O50" i="178" s="1" a="1"/>
  <c r="O50" i="178" s="1"/>
  <c r="L51" i="178"/>
  <c r="N51" i="178" s="1"/>
  <c r="O51" i="178" s="1" a="1"/>
  <c r="O51" i="178" s="1"/>
  <c r="N52" i="178" s="1"/>
  <c r="GB80" i="180"/>
  <c r="FZ80" i="180"/>
  <c r="AH39" i="180"/>
  <c r="AG39" i="180"/>
  <c r="FQ81" i="180"/>
  <c r="FY81" i="180" s="1"/>
  <c r="FP81" i="180"/>
  <c r="GA81" i="180" s="1"/>
  <c r="FO81" i="180"/>
  <c r="FN81" i="180"/>
  <c r="FW81" i="180" s="1"/>
  <c r="FV81" i="180" s="1"/>
  <c r="FU81" i="180"/>
  <c r="FT81" i="180" s="1"/>
  <c r="FR81" i="180"/>
  <c r="FS82" i="180" s="1"/>
  <c r="GK78" i="180"/>
  <c r="FC39" i="180"/>
  <c r="AJ39" i="180"/>
  <c r="AI39" i="180"/>
  <c r="AJ40" i="179"/>
  <c r="AI40" i="179"/>
  <c r="L33" i="169"/>
  <c r="L27" i="80"/>
  <c r="N27" i="80" s="1"/>
  <c r="O27" i="80" s="1" a="1"/>
  <c r="O27" i="80" s="1"/>
  <c r="AO28" i="114"/>
  <c r="P27" i="114"/>
  <c r="AA36" i="165"/>
  <c r="AO43" i="206" l="1"/>
  <c r="P42" i="206"/>
  <c r="AO43" i="205"/>
  <c r="P42" i="205"/>
  <c r="AO43" i="204"/>
  <c r="P42" i="204"/>
  <c r="AO43" i="203"/>
  <c r="P42" i="203"/>
  <c r="AO43" i="202"/>
  <c r="P42" i="202"/>
  <c r="AO43" i="201"/>
  <c r="P42" i="201"/>
  <c r="AO43" i="200"/>
  <c r="P42" i="200"/>
  <c r="AO43" i="199"/>
  <c r="P42" i="199"/>
  <c r="AO43" i="198"/>
  <c r="P42" i="198"/>
  <c r="AO43" i="197"/>
  <c r="P42" i="197"/>
  <c r="AO43" i="196"/>
  <c r="P42" i="196"/>
  <c r="P43" i="195"/>
  <c r="AO44" i="195"/>
  <c r="AO43" i="194"/>
  <c r="P42" i="194"/>
  <c r="AO43" i="193"/>
  <c r="P42" i="193"/>
  <c r="AO43" i="192"/>
  <c r="P42" i="192"/>
  <c r="P43" i="191"/>
  <c r="AO44" i="191"/>
  <c r="AO43" i="190"/>
  <c r="P42" i="190"/>
  <c r="AO43" i="189"/>
  <c r="P42" i="189"/>
  <c r="FE40" i="179"/>
  <c r="EX39" i="179"/>
  <c r="BY39" i="179"/>
  <c r="FD39" i="180"/>
  <c r="EX38" i="180"/>
  <c r="BY38" i="180"/>
  <c r="BW40" i="179"/>
  <c r="BX40" i="179" s="1"/>
  <c r="BY40" i="179" s="1"/>
  <c r="FE39" i="180"/>
  <c r="AH41" i="179"/>
  <c r="AG41" i="179"/>
  <c r="FK83" i="179"/>
  <c r="FJ82" i="179"/>
  <c r="AE42" i="179"/>
  <c r="AD42" i="179"/>
  <c r="FX81" i="180"/>
  <c r="AF41" i="180"/>
  <c r="FX82" i="179"/>
  <c r="AF42" i="179"/>
  <c r="GB81" i="180"/>
  <c r="FZ81" i="180"/>
  <c r="FD40" i="179"/>
  <c r="GB82" i="179"/>
  <c r="FZ82" i="179"/>
  <c r="BW39" i="180"/>
  <c r="BX39" i="180" s="1"/>
  <c r="FU83" i="179"/>
  <c r="FT83" i="179" s="1"/>
  <c r="FR83" i="179"/>
  <c r="FS84" i="179" s="1"/>
  <c r="FQ83" i="179"/>
  <c r="FY83" i="179" s="1"/>
  <c r="FP83" i="179"/>
  <c r="GA83" i="179" s="1"/>
  <c r="FO83" i="179"/>
  <c r="FN83" i="179"/>
  <c r="FW83" i="179" s="1"/>
  <c r="FV83" i="179" s="1"/>
  <c r="AI41" i="179"/>
  <c r="AJ41" i="179"/>
  <c r="AO42" i="177"/>
  <c r="P41" i="177"/>
  <c r="FC40" i="180"/>
  <c r="FC41" i="179"/>
  <c r="AI40" i="180"/>
  <c r="AJ40" i="180"/>
  <c r="GK79" i="180"/>
  <c r="GK80" i="179"/>
  <c r="AH40" i="180"/>
  <c r="AG40" i="180"/>
  <c r="FO82" i="180"/>
  <c r="FN82" i="180"/>
  <c r="FW82" i="180" s="1"/>
  <c r="FV82" i="180" s="1"/>
  <c r="FP82" i="180"/>
  <c r="GA82" i="180" s="1"/>
  <c r="FU82" i="180"/>
  <c r="FT82" i="180" s="1"/>
  <c r="FR82" i="180"/>
  <c r="FS83" i="180" s="1"/>
  <c r="FQ82" i="180"/>
  <c r="FY82" i="180" s="1"/>
  <c r="AE41" i="180"/>
  <c r="AD41" i="180"/>
  <c r="FK85" i="180"/>
  <c r="FJ85" i="180" s="1"/>
  <c r="FJ84" i="180"/>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P43" i="206" l="1"/>
  <c r="AO44" i="206"/>
  <c r="P43" i="205"/>
  <c r="AO44" i="205"/>
  <c r="P43" i="204"/>
  <c r="AO44" i="204"/>
  <c r="P43" i="203"/>
  <c r="AO44" i="203"/>
  <c r="P43" i="202"/>
  <c r="AO44" i="202"/>
  <c r="P43" i="201"/>
  <c r="AO44" i="201"/>
  <c r="P43" i="200"/>
  <c r="AO44" i="200"/>
  <c r="P43" i="199"/>
  <c r="AO44" i="199"/>
  <c r="P43" i="198"/>
  <c r="AO44" i="198"/>
  <c r="P43" i="197"/>
  <c r="AO44" i="197"/>
  <c r="P43" i="196"/>
  <c r="AO44" i="196"/>
  <c r="P44" i="195"/>
  <c r="AO45" i="195"/>
  <c r="P43" i="194"/>
  <c r="AO44" i="194"/>
  <c r="P43" i="193"/>
  <c r="AO44" i="193"/>
  <c r="P43" i="192"/>
  <c r="AO44" i="192"/>
  <c r="P44" i="191"/>
  <c r="AO45" i="191"/>
  <c r="P43" i="190"/>
  <c r="AO44" i="190"/>
  <c r="P43" i="189"/>
  <c r="AO44" i="189"/>
  <c r="FD41" i="179"/>
  <c r="EX40" i="179"/>
  <c r="FB40" i="179"/>
  <c r="FA40" i="179" s="1"/>
  <c r="BW40" i="180"/>
  <c r="BX40" i="180" s="1"/>
  <c r="BY40" i="180" s="1"/>
  <c r="FE41" i="179"/>
  <c r="AD43" i="179"/>
  <c r="AE43" i="179"/>
  <c r="AH42" i="179"/>
  <c r="AG42" i="179"/>
  <c r="FX83" i="179"/>
  <c r="AF43" i="179"/>
  <c r="FX82" i="180"/>
  <c r="AF42" i="180"/>
  <c r="AH41" i="180"/>
  <c r="AG41" i="180"/>
  <c r="FE40" i="180"/>
  <c r="FZ83" i="179"/>
  <c r="GB83" i="179"/>
  <c r="FC42" i="179"/>
  <c r="FD40" i="180"/>
  <c r="FU84" i="179"/>
  <c r="FT84" i="179" s="1"/>
  <c r="FR84" i="179"/>
  <c r="FS85" i="179" s="1"/>
  <c r="FQ84" i="179"/>
  <c r="FY84" i="179" s="1"/>
  <c r="FP84" i="179"/>
  <c r="GA84" i="179" s="1"/>
  <c r="FO84" i="179"/>
  <c r="FN84" i="179"/>
  <c r="FW84" i="179" s="1"/>
  <c r="FV84" i="179" s="1"/>
  <c r="BW41" i="179"/>
  <c r="BX41" i="179" s="1"/>
  <c r="FC41" i="180"/>
  <c r="BY39" i="180"/>
  <c r="FB39" i="180"/>
  <c r="FA39" i="180" s="1"/>
  <c r="EX39" i="180"/>
  <c r="FK84" i="179"/>
  <c r="FJ83" i="179"/>
  <c r="AO43" i="177"/>
  <c r="P42" i="177"/>
  <c r="GK81" i="179"/>
  <c r="GB82" i="180"/>
  <c r="FZ82" i="180"/>
  <c r="FQ83" i="180"/>
  <c r="FY83" i="180" s="1"/>
  <c r="FP83" i="180"/>
  <c r="GA83" i="180" s="1"/>
  <c r="FO83" i="180"/>
  <c r="FN83" i="180"/>
  <c r="FW83" i="180" s="1"/>
  <c r="FV83" i="180" s="1"/>
  <c r="FU83" i="180"/>
  <c r="FT83" i="180" s="1"/>
  <c r="FR83" i="180"/>
  <c r="FS84" i="180" s="1"/>
  <c r="AJ42" i="179"/>
  <c r="AI42" i="179"/>
  <c r="GK80" i="180"/>
  <c r="AJ41" i="180"/>
  <c r="AI41" i="180"/>
  <c r="AE42" i="180"/>
  <c r="AD42"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P44" i="206" l="1"/>
  <c r="AO45" i="206"/>
  <c r="P44" i="205"/>
  <c r="AO45" i="205"/>
  <c r="P44" i="204"/>
  <c r="AO45" i="204"/>
  <c r="P44" i="203"/>
  <c r="AO45" i="203"/>
  <c r="P44" i="202"/>
  <c r="AO45" i="202"/>
  <c r="P44" i="201"/>
  <c r="AO45" i="201"/>
  <c r="P44" i="200"/>
  <c r="AO45" i="200"/>
  <c r="P44" i="199"/>
  <c r="AO45" i="199"/>
  <c r="P44" i="198"/>
  <c r="AO45" i="198"/>
  <c r="P44" i="197"/>
  <c r="AO45" i="197"/>
  <c r="P44" i="196"/>
  <c r="AO45" i="196"/>
  <c r="AO46" i="195"/>
  <c r="P45" i="195"/>
  <c r="P44" i="194"/>
  <c r="AO45" i="194"/>
  <c r="P44" i="193"/>
  <c r="AO45" i="193"/>
  <c r="P44" i="192"/>
  <c r="AO45" i="192"/>
  <c r="AO46" i="191"/>
  <c r="P45" i="191"/>
  <c r="P44" i="190"/>
  <c r="AO45" i="190"/>
  <c r="P44" i="189"/>
  <c r="AO45" i="189"/>
  <c r="EX40" i="180"/>
  <c r="FD42" i="179"/>
  <c r="FE41" i="180"/>
  <c r="FB40" i="180"/>
  <c r="FA40" i="180" s="1"/>
  <c r="BW41" i="180"/>
  <c r="BX41" i="180" s="1"/>
  <c r="BY41" i="180" s="1"/>
  <c r="GK81" i="180"/>
  <c r="EX41" i="179"/>
  <c r="BY41" i="179"/>
  <c r="FB41" i="179"/>
  <c r="FA41" i="179" s="1"/>
  <c r="FX84" i="179"/>
  <c r="AF44" i="179"/>
  <c r="AG42" i="180"/>
  <c r="AH42" i="180"/>
  <c r="AJ42" i="180"/>
  <c r="AI42" i="180"/>
  <c r="FD41" i="180"/>
  <c r="GB84" i="179"/>
  <c r="FZ84" i="179"/>
  <c r="FU85" i="179"/>
  <c r="FT85" i="179" s="1"/>
  <c r="FR85" i="179"/>
  <c r="FQ85" i="179"/>
  <c r="FY85" i="179" s="1"/>
  <c r="FP85" i="179"/>
  <c r="GA85" i="179" s="1"/>
  <c r="FO85" i="179"/>
  <c r="FN85" i="179"/>
  <c r="FW85" i="179" s="1"/>
  <c r="FV85" i="179" s="1"/>
  <c r="AH43" i="179"/>
  <c r="AG43" i="179"/>
  <c r="GB83" i="180"/>
  <c r="FZ83" i="180"/>
  <c r="FX83" i="180"/>
  <c r="AF43" i="180"/>
  <c r="P43" i="177"/>
  <c r="AO44" i="177"/>
  <c r="BW42" i="179"/>
  <c r="BX42" i="179" s="1"/>
  <c r="FJ84" i="179"/>
  <c r="FK85" i="179"/>
  <c r="FJ85" i="179" s="1"/>
  <c r="FC43" i="179"/>
  <c r="FE42" i="179"/>
  <c r="GK82" i="179"/>
  <c r="FC42" i="180"/>
  <c r="AE44" i="179"/>
  <c r="AD44" i="179"/>
  <c r="FP84" i="180"/>
  <c r="GA84" i="180" s="1"/>
  <c r="FR84" i="180"/>
  <c r="FS85" i="180" s="1"/>
  <c r="FU84" i="180"/>
  <c r="FT84" i="180" s="1"/>
  <c r="FQ84" i="180"/>
  <c r="FY84" i="180" s="1"/>
  <c r="FO84" i="180"/>
  <c r="FN84" i="180"/>
  <c r="FW84" i="180" s="1"/>
  <c r="FV84" i="180" s="1"/>
  <c r="AI43" i="179"/>
  <c r="AJ43" i="179"/>
  <c r="AE43" i="180"/>
  <c r="AD43" i="180"/>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AO46" i="206" l="1"/>
  <c r="P45" i="206"/>
  <c r="AO46" i="205"/>
  <c r="P45" i="205"/>
  <c r="AO46" i="204"/>
  <c r="P45" i="204"/>
  <c r="AO46" i="203"/>
  <c r="P45" i="203"/>
  <c r="AO46" i="202"/>
  <c r="P45" i="202"/>
  <c r="P45" i="201"/>
  <c r="AO46" i="201"/>
  <c r="AO46" i="200"/>
  <c r="P45" i="200"/>
  <c r="AO46" i="199"/>
  <c r="P45" i="199"/>
  <c r="AO46" i="198"/>
  <c r="P45" i="198"/>
  <c r="AO46" i="197"/>
  <c r="P45" i="197"/>
  <c r="AO46" i="196"/>
  <c r="P45" i="196"/>
  <c r="AO47" i="195"/>
  <c r="P46" i="195"/>
  <c r="AO46" i="194"/>
  <c r="P45" i="194"/>
  <c r="AO46" i="193"/>
  <c r="P45" i="193"/>
  <c r="AO46" i="192"/>
  <c r="P45" i="192"/>
  <c r="AO47" i="191"/>
  <c r="P46" i="191"/>
  <c r="AO46" i="190"/>
  <c r="P45" i="190"/>
  <c r="AO46" i="189"/>
  <c r="P45" i="189"/>
  <c r="FD43" i="179"/>
  <c r="FE42" i="180"/>
  <c r="FD42" i="180"/>
  <c r="BW42" i="180"/>
  <c r="BX42" i="180" s="1"/>
  <c r="BY42" i="180" s="1"/>
  <c r="EX41" i="180"/>
  <c r="FB41" i="180"/>
  <c r="FA41" i="180" s="1"/>
  <c r="GK82" i="180"/>
  <c r="AH43" i="180"/>
  <c r="AG43" i="180"/>
  <c r="AJ43" i="180"/>
  <c r="AI43" i="180"/>
  <c r="BW43" i="179"/>
  <c r="BX43" i="179" s="1"/>
  <c r="AE45" i="179"/>
  <c r="AD45" i="179"/>
  <c r="AH44" i="179"/>
  <c r="AG44" i="179"/>
  <c r="FC44" i="179"/>
  <c r="FE43" i="179"/>
  <c r="AF45" i="179"/>
  <c r="FX85" i="179"/>
  <c r="FC43" i="180"/>
  <c r="AE44" i="180"/>
  <c r="AD44" i="180"/>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FZ84" i="180"/>
  <c r="GB84" i="180"/>
  <c r="BY42" i="179"/>
  <c r="FB42" i="179"/>
  <c r="FA42" i="179" s="1"/>
  <c r="EX42" i="179"/>
  <c r="FX84" i="180"/>
  <c r="AF44" i="180"/>
  <c r="FN85" i="180"/>
  <c r="FW85" i="180" s="1"/>
  <c r="FV85" i="180" s="1"/>
  <c r="FU85" i="180"/>
  <c r="FT85" i="180" s="1"/>
  <c r="FP85" i="180"/>
  <c r="GA85" i="180" s="1"/>
  <c r="FR85" i="180"/>
  <c r="FQ85" i="180"/>
  <c r="FY85" i="180" s="1"/>
  <c r="FO85" i="180"/>
  <c r="P44" i="177"/>
  <c r="AO45" i="177"/>
  <c r="AI44" i="179"/>
  <c r="AJ44" i="179"/>
  <c r="L37" i="169"/>
  <c r="L31" i="80"/>
  <c r="N31" i="80" s="1"/>
  <c r="O31" i="80" s="1" a="1"/>
  <c r="O31" i="80" s="1"/>
  <c r="AO32" i="114"/>
  <c r="P31" i="114"/>
  <c r="AO47" i="206" l="1"/>
  <c r="P46" i="206"/>
  <c r="AO47" i="205"/>
  <c r="P46" i="205"/>
  <c r="AO47" i="204"/>
  <c r="P46" i="204"/>
  <c r="AO47" i="203"/>
  <c r="P46" i="203"/>
  <c r="AO47" i="202"/>
  <c r="P46" i="202"/>
  <c r="AO47" i="201"/>
  <c r="P46" i="201"/>
  <c r="AO47" i="200"/>
  <c r="P46" i="200"/>
  <c r="AO47" i="199"/>
  <c r="P46" i="199"/>
  <c r="AO47" i="198"/>
  <c r="P46" i="198"/>
  <c r="AO47" i="197"/>
  <c r="P46" i="197"/>
  <c r="AO47" i="196"/>
  <c r="P46" i="196"/>
  <c r="P47" i="195"/>
  <c r="AO48" i="195"/>
  <c r="AO47" i="194"/>
  <c r="P46" i="194"/>
  <c r="AO47" i="193"/>
  <c r="P46" i="193"/>
  <c r="AO47" i="192"/>
  <c r="P46" i="192"/>
  <c r="P47" i="191"/>
  <c r="AO48" i="191"/>
  <c r="AO47" i="190"/>
  <c r="P46" i="190"/>
  <c r="AO47" i="189"/>
  <c r="P46" i="189"/>
  <c r="FD44" i="179"/>
  <c r="EX42" i="180"/>
  <c r="FE43" i="180"/>
  <c r="FB42" i="180"/>
  <c r="FA42" i="180" s="1"/>
  <c r="FD43" i="180"/>
  <c r="FE44" i="179"/>
  <c r="BW44" i="179"/>
  <c r="BX44" i="179" s="1"/>
  <c r="AJ44" i="180"/>
  <c r="AI44" i="180"/>
  <c r="AO46" i="177"/>
  <c r="P45" i="177"/>
  <c r="GK84" i="179"/>
  <c r="FC45"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EX43" i="179"/>
  <c r="BY43" i="179"/>
  <c r="FB43" i="179"/>
  <c r="FA43" i="179" s="1"/>
  <c r="FX85" i="180"/>
  <c r="AF45" i="180"/>
  <c r="BW43" i="180"/>
  <c r="BX43" i="180" s="1"/>
  <c r="GK83" i="180"/>
  <c r="AE45" i="180"/>
  <c r="AD45" i="180"/>
  <c r="AH45" i="179"/>
  <c r="AG45" i="179"/>
  <c r="FC44" i="180"/>
  <c r="AJ45" i="179"/>
  <c r="AI45" i="179"/>
  <c r="AH44" i="180"/>
  <c r="AG44" i="180"/>
  <c r="L38" i="169"/>
  <c r="L32" i="80"/>
  <c r="N32" i="80" s="1"/>
  <c r="O32" i="80" s="1" a="1"/>
  <c r="O32" i="80" s="1"/>
  <c r="AO33" i="114"/>
  <c r="P32" i="114"/>
  <c r="P47" i="206" l="1"/>
  <c r="AO48" i="206"/>
  <c r="P47" i="205"/>
  <c r="AO48" i="205"/>
  <c r="P47" i="204"/>
  <c r="AO48" i="204"/>
  <c r="P47" i="203"/>
  <c r="AO48" i="203"/>
  <c r="P47" i="202"/>
  <c r="AO48" i="202"/>
  <c r="P47" i="201"/>
  <c r="AO48" i="201"/>
  <c r="P47" i="200"/>
  <c r="AO48" i="200"/>
  <c r="P47" i="199"/>
  <c r="AO48" i="199"/>
  <c r="P47" i="198"/>
  <c r="AO48" i="198"/>
  <c r="P47" i="197"/>
  <c r="AO48" i="197"/>
  <c r="P47" i="196"/>
  <c r="AO48" i="196"/>
  <c r="P48" i="195"/>
  <c r="AO49" i="195"/>
  <c r="P47" i="194"/>
  <c r="AO48" i="194"/>
  <c r="P47" i="193"/>
  <c r="AO48" i="193"/>
  <c r="P47" i="192"/>
  <c r="AO48" i="192"/>
  <c r="P48" i="191"/>
  <c r="AO49" i="191"/>
  <c r="P47" i="190"/>
  <c r="AO48" i="190"/>
  <c r="P47" i="189"/>
  <c r="AO48" i="189"/>
  <c r="FD44" i="180"/>
  <c r="FD45" i="179"/>
  <c r="GK84" i="180"/>
  <c r="FE44" i="180"/>
  <c r="BW44" i="180"/>
  <c r="BX44" i="180" s="1"/>
  <c r="BY44" i="180" s="1"/>
  <c r="BW45" i="179"/>
  <c r="BX45" i="179" s="1"/>
  <c r="BY45" i="179" s="1"/>
  <c r="FE45" i="179"/>
  <c r="GK85" i="179"/>
  <c r="AO47" i="177"/>
  <c r="P46" i="177"/>
  <c r="AJ45" i="180"/>
  <c r="AI45" i="180"/>
  <c r="BY43" i="180"/>
  <c r="FB43" i="180"/>
  <c r="FA43" i="180" s="1"/>
  <c r="EX43" i="180"/>
  <c r="AH45" i="180"/>
  <c r="AG45" i="180"/>
  <c r="FC45" i="180"/>
  <c r="FB44" i="179"/>
  <c r="FA44" i="179" s="1"/>
  <c r="EX44" i="179"/>
  <c r="BY44" i="179"/>
  <c r="L39" i="169"/>
  <c r="L33" i="80"/>
  <c r="N33" i="80" s="1"/>
  <c r="O33" i="80" s="1" a="1"/>
  <c r="O33" i="80" s="1"/>
  <c r="AO34" i="114"/>
  <c r="P33" i="114"/>
  <c r="BG1" i="167"/>
  <c r="AD1" i="168"/>
  <c r="EC1" i="168"/>
  <c r="EC2" i="168" s="1"/>
  <c r="BR1" i="168"/>
  <c r="P48" i="206" l="1"/>
  <c r="AO49" i="206"/>
  <c r="P48" i="205"/>
  <c r="AO49" i="205"/>
  <c r="P48" i="204"/>
  <c r="AO49" i="204"/>
  <c r="P48" i="203"/>
  <c r="AO49" i="203"/>
  <c r="P48" i="202"/>
  <c r="AO49" i="202"/>
  <c r="P48" i="201"/>
  <c r="AO49" i="201"/>
  <c r="P48" i="200"/>
  <c r="AO49" i="200"/>
  <c r="P48" i="199"/>
  <c r="AO49" i="199"/>
  <c r="P48" i="198"/>
  <c r="AO49" i="198"/>
  <c r="P48" i="197"/>
  <c r="AO49" i="197"/>
  <c r="P48" i="196"/>
  <c r="AO49" i="196"/>
  <c r="AO50" i="195"/>
  <c r="P49" i="195"/>
  <c r="P48" i="194"/>
  <c r="AO49" i="194"/>
  <c r="P48" i="193"/>
  <c r="AO49" i="193"/>
  <c r="P48" i="192"/>
  <c r="AO49" i="192"/>
  <c r="AO50" i="191"/>
  <c r="P49" i="191"/>
  <c r="P48" i="190"/>
  <c r="AO49" i="190"/>
  <c r="P48" i="189"/>
  <c r="AO49" i="189"/>
  <c r="FF45" i="179"/>
  <c r="FF44" i="179" s="1"/>
  <c r="FF43" i="179" s="1"/>
  <c r="FF42" i="179" s="1"/>
  <c r="FF41" i="179" s="1"/>
  <c r="FF40" i="179" s="1"/>
  <c r="FF39" i="179" s="1"/>
  <c r="FF38" i="179" s="1"/>
  <c r="FF37" i="179" s="1"/>
  <c r="FF36" i="179" s="1"/>
  <c r="FF35" i="179" s="1"/>
  <c r="FF34" i="179" s="1"/>
  <c r="FF33" i="179" s="1"/>
  <c r="FF32" i="179" s="1"/>
  <c r="FE45" i="180"/>
  <c r="EX44" i="180"/>
  <c r="FD45" i="180"/>
  <c r="FB44" i="180"/>
  <c r="FA44" i="180" s="1"/>
  <c r="EX45" i="179"/>
  <c r="EY18" i="179" s="1"/>
  <c r="FB45" i="179"/>
  <c r="FA45" i="179" s="1"/>
  <c r="EY22" i="179"/>
  <c r="EY23" i="179"/>
  <c r="EY21" i="179"/>
  <c r="AO48" i="177"/>
  <c r="P47" i="177"/>
  <c r="GK85" i="180"/>
  <c r="BW45" i="180"/>
  <c r="BX45" i="180" s="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AO50" i="206" l="1"/>
  <c r="P49" i="206"/>
  <c r="AO50" i="205"/>
  <c r="P49" i="205"/>
  <c r="AO50" i="204"/>
  <c r="P49" i="204"/>
  <c r="AO50" i="203"/>
  <c r="P49" i="203"/>
  <c r="AO50" i="202"/>
  <c r="P49" i="202"/>
  <c r="P49" i="201"/>
  <c r="AO50" i="201"/>
  <c r="AO50" i="200"/>
  <c r="P49" i="200"/>
  <c r="AO50" i="199"/>
  <c r="P49" i="199"/>
  <c r="AO50" i="198"/>
  <c r="P49" i="198"/>
  <c r="AO50" i="197"/>
  <c r="P49" i="197"/>
  <c r="AO50" i="196"/>
  <c r="P49" i="196"/>
  <c r="AO51" i="195"/>
  <c r="P50" i="195"/>
  <c r="AO50" i="194"/>
  <c r="P49" i="194"/>
  <c r="AO50" i="193"/>
  <c r="P49" i="193"/>
  <c r="AO50" i="192"/>
  <c r="P49" i="192"/>
  <c r="AO51" i="191"/>
  <c r="P50" i="191"/>
  <c r="AO50" i="190"/>
  <c r="P49" i="190"/>
  <c r="AO50" i="189"/>
  <c r="P49" i="189"/>
  <c r="FF45" i="180"/>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EY31" i="179"/>
  <c r="EY19" i="179"/>
  <c r="EY25" i="179"/>
  <c r="EY15" i="179"/>
  <c r="EY28" i="179"/>
  <c r="EY30" i="179"/>
  <c r="EY29" i="179"/>
  <c r="EY14" i="179"/>
  <c r="EY27" i="179"/>
  <c r="EY17" i="179"/>
  <c r="EY16" i="179"/>
  <c r="EY24" i="179"/>
  <c r="BY45" i="180"/>
  <c r="FB45" i="180"/>
  <c r="FA45" i="180" s="1"/>
  <c r="EX45" i="180"/>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AO51" i="206" l="1"/>
  <c r="P50" i="206"/>
  <c r="AO51" i="205"/>
  <c r="P50" i="205"/>
  <c r="AO51" i="204"/>
  <c r="P50" i="204"/>
  <c r="AO51" i="203"/>
  <c r="P50" i="203"/>
  <c r="AO51" i="202"/>
  <c r="P50" i="202"/>
  <c r="AO51" i="201"/>
  <c r="P50" i="201"/>
  <c r="AO51" i="200"/>
  <c r="P50" i="200"/>
  <c r="AO51" i="199"/>
  <c r="P50" i="199"/>
  <c r="AO51" i="198"/>
  <c r="P50" i="198"/>
  <c r="AO51" i="197"/>
  <c r="P50" i="197"/>
  <c r="AO51" i="196"/>
  <c r="P50" i="196"/>
  <c r="AO52" i="195"/>
  <c r="P51" i="195"/>
  <c r="AO51" i="194"/>
  <c r="P50" i="194"/>
  <c r="AO51" i="193"/>
  <c r="P50" i="193"/>
  <c r="AO51" i="192"/>
  <c r="P50" i="192"/>
  <c r="P51" i="191"/>
  <c r="AO52" i="191"/>
  <c r="AO51" i="190"/>
  <c r="P50" i="190"/>
  <c r="AO51" i="189"/>
  <c r="P50" i="189"/>
  <c r="EY22" i="180"/>
  <c r="EY16" i="180"/>
  <c r="EY18" i="180"/>
  <c r="EY17" i="180"/>
  <c r="EY20" i="180"/>
  <c r="EY24" i="180"/>
  <c r="EY25" i="180"/>
  <c r="EY26" i="180"/>
  <c r="EY23" i="180"/>
  <c r="EY21" i="180"/>
  <c r="EY14" i="180"/>
  <c r="EY15" i="180"/>
  <c r="EY19" i="180"/>
  <c r="P49" i="177"/>
  <c r="AO50" i="177"/>
  <c r="L42" i="169"/>
  <c r="L36" i="80"/>
  <c r="N36" i="80" s="1"/>
  <c r="O36" i="80" s="1" a="1"/>
  <c r="O36" i="80" s="1"/>
  <c r="AO37" i="114"/>
  <c r="P36" i="114"/>
  <c r="BR87" i="84"/>
  <c r="P51" i="206" l="1"/>
  <c r="AO52" i="206"/>
  <c r="P51" i="205"/>
  <c r="AO52" i="205"/>
  <c r="P51" i="204"/>
  <c r="AO52" i="204"/>
  <c r="P51" i="203"/>
  <c r="AO52" i="203"/>
  <c r="P51" i="202"/>
  <c r="AO52" i="202"/>
  <c r="P51" i="201"/>
  <c r="AO52" i="201"/>
  <c r="P51" i="200"/>
  <c r="AO52" i="200"/>
  <c r="P51" i="199"/>
  <c r="AO52" i="199"/>
  <c r="P51" i="198"/>
  <c r="AO52" i="198"/>
  <c r="P51" i="197"/>
  <c r="AO52" i="197"/>
  <c r="P51" i="196"/>
  <c r="AO52" i="196"/>
  <c r="P52" i="195"/>
  <c r="AO53" i="195"/>
  <c r="P51" i="194"/>
  <c r="AO52" i="194"/>
  <c r="P51" i="193"/>
  <c r="AO52" i="193"/>
  <c r="P51" i="192"/>
  <c r="AO52" i="192"/>
  <c r="P52" i="191"/>
  <c r="AO53" i="191"/>
  <c r="P51" i="190"/>
  <c r="AO52" i="190"/>
  <c r="P51" i="189"/>
  <c r="AO52" i="189"/>
  <c r="AO51" i="177"/>
  <c r="P50" i="177"/>
  <c r="L43" i="169"/>
  <c r="L37" i="80"/>
  <c r="N37" i="80" s="1"/>
  <c r="O37" i="80" s="1" a="1"/>
  <c r="O37" i="80" s="1"/>
  <c r="AO38" i="114"/>
  <c r="P37" i="114"/>
  <c r="GF26" i="147"/>
  <c r="P52" i="206" l="1"/>
  <c r="AO53" i="206"/>
  <c r="P52" i="205"/>
  <c r="AO53" i="205"/>
  <c r="P52" i="204"/>
  <c r="AO53" i="204"/>
  <c r="P52" i="203"/>
  <c r="AO53" i="203"/>
  <c r="P52" i="202"/>
  <c r="AO53" i="202"/>
  <c r="P52" i="201"/>
  <c r="AO53" i="201"/>
  <c r="P52" i="200"/>
  <c r="AO53" i="200"/>
  <c r="P52" i="199"/>
  <c r="AO53" i="199"/>
  <c r="P52" i="198"/>
  <c r="AO53" i="198"/>
  <c r="P52" i="197"/>
  <c r="AO53" i="197"/>
  <c r="P52" i="196"/>
  <c r="AO53" i="196"/>
  <c r="AO54" i="195"/>
  <c r="P53" i="195"/>
  <c r="P52" i="194"/>
  <c r="AO53" i="194"/>
  <c r="P52" i="193"/>
  <c r="AO53" i="193"/>
  <c r="P52" i="192"/>
  <c r="AO53" i="192"/>
  <c r="AO54" i="191"/>
  <c r="P53" i="191"/>
  <c r="P52" i="190"/>
  <c r="AO53" i="190"/>
  <c r="P52" i="189"/>
  <c r="AO53" i="189"/>
  <c r="AO52" i="177"/>
  <c r="P51" i="177"/>
  <c r="L44" i="169"/>
  <c r="L38" i="80"/>
  <c r="N38" i="80" s="1"/>
  <c r="O38" i="80" s="1" a="1"/>
  <c r="O38" i="80" s="1"/>
  <c r="AO39" i="114"/>
  <c r="P38" i="114"/>
  <c r="GB26" i="147"/>
  <c r="GA26" i="147"/>
  <c r="U9" i="13"/>
  <c r="AO54" i="206" l="1"/>
  <c r="P53" i="206"/>
  <c r="AO54" i="205"/>
  <c r="P53" i="205"/>
  <c r="AO54" i="204"/>
  <c r="P53" i="204"/>
  <c r="AO54" i="203"/>
  <c r="P53" i="203"/>
  <c r="AO54" i="202"/>
  <c r="P53" i="202"/>
  <c r="AO54" i="201"/>
  <c r="P53" i="201"/>
  <c r="AO54" i="200"/>
  <c r="P53" i="200"/>
  <c r="AO54" i="199"/>
  <c r="P53" i="199"/>
  <c r="AO54" i="198"/>
  <c r="P53" i="198"/>
  <c r="AO54" i="197"/>
  <c r="P53" i="197"/>
  <c r="AO54" i="196"/>
  <c r="P53" i="196"/>
  <c r="AO55" i="195"/>
  <c r="P55" i="195" s="1"/>
  <c r="P56" i="195" s="1"/>
  <c r="P54" i="195"/>
  <c r="AO54" i="194"/>
  <c r="P53" i="194"/>
  <c r="AO54" i="193"/>
  <c r="P53" i="193"/>
  <c r="AO54" i="192"/>
  <c r="P53" i="192"/>
  <c r="AO55" i="191"/>
  <c r="P55" i="191" s="1"/>
  <c r="P54" i="191"/>
  <c r="AO54" i="190"/>
  <c r="P53" i="190"/>
  <c r="AO54" i="189"/>
  <c r="P53" i="189"/>
  <c r="AO53" i="177"/>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5" i="206" l="1"/>
  <c r="P55" i="206" s="1"/>
  <c r="P54" i="206"/>
  <c r="AO55" i="205"/>
  <c r="P55" i="205" s="1"/>
  <c r="P54" i="205"/>
  <c r="AO55" i="204"/>
  <c r="P55" i="204" s="1"/>
  <c r="P56" i="204" s="1"/>
  <c r="P54" i="204"/>
  <c r="AO55" i="203"/>
  <c r="P55" i="203" s="1"/>
  <c r="P56" i="203" s="1"/>
  <c r="P54" i="203"/>
  <c r="AO55" i="202"/>
  <c r="P55" i="202" s="1"/>
  <c r="P54" i="202"/>
  <c r="AO55" i="201"/>
  <c r="P55" i="201" s="1"/>
  <c r="P56" i="201" s="1"/>
  <c r="P54" i="201"/>
  <c r="AO55" i="200"/>
  <c r="P55" i="200" s="1"/>
  <c r="P56" i="200" s="1"/>
  <c r="P54" i="200"/>
  <c r="AO55" i="199"/>
  <c r="P55" i="199" s="1"/>
  <c r="P54" i="199"/>
  <c r="AO55" i="198"/>
  <c r="P55" i="198" s="1"/>
  <c r="P56" i="198" s="1"/>
  <c r="P54" i="198"/>
  <c r="AO55" i="197"/>
  <c r="P55" i="197" s="1"/>
  <c r="P56" i="197" s="1"/>
  <c r="P54" i="197"/>
  <c r="AO55" i="196"/>
  <c r="P55" i="196" s="1"/>
  <c r="P56" i="196" s="1"/>
  <c r="P54" i="196"/>
  <c r="AO55" i="194"/>
  <c r="P55" i="194" s="1"/>
  <c r="P56" i="194" s="1"/>
  <c r="P54" i="194"/>
  <c r="AO55" i="193"/>
  <c r="P55" i="193" s="1"/>
  <c r="P56" i="193" s="1"/>
  <c r="P54" i="193"/>
  <c r="AO55" i="192"/>
  <c r="P55" i="192" s="1"/>
  <c r="P56" i="192" s="1"/>
  <c r="P54" i="192"/>
  <c r="P56" i="191"/>
  <c r="AO55" i="190"/>
  <c r="P55" i="190" s="1"/>
  <c r="P56" i="190" s="1"/>
  <c r="P54" i="190"/>
  <c r="AO55" i="189"/>
  <c r="P55" i="189" s="1"/>
  <c r="P56" i="189" s="1"/>
  <c r="P54" i="189"/>
  <c r="AO54" i="177"/>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6" i="206" l="1"/>
  <c r="P56" i="205"/>
  <c r="P56" i="202"/>
  <c r="P56" i="199"/>
  <c r="P54" i="177"/>
  <c r="AO55" i="177"/>
  <c r="P55"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P56" i="177" l="1"/>
  <c r="L48" i="169"/>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N4" i="206" s="1"/>
  <c r="D14" i="13"/>
  <c r="N3" i="206" s="1"/>
  <c r="D13" i="13"/>
  <c r="N2" i="206" s="1"/>
  <c r="D12" i="13"/>
  <c r="N1" i="206" s="1"/>
  <c r="D11" i="13"/>
  <c r="A5" i="206" s="1"/>
  <c r="A5" i="204" l="1"/>
  <c r="A5" i="205"/>
  <c r="N1" i="204"/>
  <c r="N1" i="205"/>
  <c r="N2" i="204"/>
  <c r="N2" i="205"/>
  <c r="N3" i="204"/>
  <c r="N3" i="205"/>
  <c r="N4" i="204"/>
  <c r="N4" i="205"/>
  <c r="A5" i="202"/>
  <c r="A5" i="203"/>
  <c r="N1" i="202"/>
  <c r="N1" i="203"/>
  <c r="N2" i="202"/>
  <c r="N2" i="203"/>
  <c r="N3" i="202"/>
  <c r="N3" i="203"/>
  <c r="N4" i="202"/>
  <c r="N4" i="203"/>
  <c r="A5" i="200"/>
  <c r="A5" i="201"/>
  <c r="N1" i="200"/>
  <c r="N1" i="201"/>
  <c r="N2" i="200"/>
  <c r="N2" i="201"/>
  <c r="N3" i="200"/>
  <c r="N3" i="201"/>
  <c r="N4" i="200"/>
  <c r="N4" i="201"/>
  <c r="A5" i="198"/>
  <c r="A5" i="199"/>
  <c r="N1" i="198"/>
  <c r="N1" i="199"/>
  <c r="N2" i="198"/>
  <c r="N2" i="199"/>
  <c r="N3" i="198"/>
  <c r="N3" i="199"/>
  <c r="N4" i="198"/>
  <c r="N4" i="199"/>
  <c r="A5" i="196"/>
  <c r="A5" i="197"/>
  <c r="N1" i="196"/>
  <c r="N1" i="197"/>
  <c r="N2" i="196"/>
  <c r="N2" i="197"/>
  <c r="N3" i="196"/>
  <c r="N3" i="197"/>
  <c r="N4" i="196"/>
  <c r="N4" i="197"/>
  <c r="A5" i="194"/>
  <c r="A5" i="195"/>
  <c r="N1" i="194"/>
  <c r="N1" i="195"/>
  <c r="N2" i="194"/>
  <c r="N2" i="195"/>
  <c r="N3" i="194"/>
  <c r="N3" i="195"/>
  <c r="N4" i="194"/>
  <c r="N4" i="195"/>
  <c r="A5" i="192"/>
  <c r="A5" i="193"/>
  <c r="N1" i="192"/>
  <c r="N1" i="193"/>
  <c r="N2" i="192"/>
  <c r="N2" i="193"/>
  <c r="N3" i="192"/>
  <c r="N3" i="193"/>
  <c r="N4" i="192"/>
  <c r="N4" i="193"/>
  <c r="A5" i="190"/>
  <c r="A5" i="191"/>
  <c r="N1" i="190"/>
  <c r="N1" i="191"/>
  <c r="N2" i="190"/>
  <c r="N2" i="191"/>
  <c r="N3" i="190"/>
  <c r="N3" i="191"/>
  <c r="N4" i="190"/>
  <c r="N4" i="191"/>
  <c r="A5" i="188"/>
  <c r="A5" i="189"/>
  <c r="I1" i="188"/>
  <c r="N1" i="189"/>
  <c r="I2" i="188"/>
  <c r="N2" i="189"/>
  <c r="I3" i="188"/>
  <c r="N3" i="189"/>
  <c r="I4" i="188"/>
  <c r="N4" i="189"/>
  <c r="I2" i="169"/>
  <c r="P2" i="186"/>
  <c r="AA2" i="185"/>
  <c r="AA2" i="184"/>
  <c r="AA2" i="183"/>
  <c r="AA2" i="182"/>
  <c r="BD2" i="180"/>
  <c r="Z2" i="180"/>
  <c r="N2" i="174"/>
  <c r="N2" i="176"/>
  <c r="N2" i="171"/>
  <c r="I2" i="178"/>
  <c r="N2" i="173"/>
  <c r="BD2" i="179"/>
  <c r="Z2" i="179"/>
  <c r="N2" i="175"/>
  <c r="N2" i="177"/>
  <c r="M2" i="170"/>
  <c r="N2" i="172"/>
  <c r="A5" i="169"/>
  <c r="A5" i="186"/>
  <c r="A5" i="185"/>
  <c r="A5" i="184"/>
  <c r="A5" i="183"/>
  <c r="A5" i="182"/>
  <c r="A5" i="180"/>
  <c r="AB5" i="180"/>
  <c r="A5" i="176"/>
  <c r="A5" i="171"/>
  <c r="A5" i="178"/>
  <c r="A5" i="173"/>
  <c r="AB5" i="179"/>
  <c r="A5" i="179"/>
  <c r="A5" i="175"/>
  <c r="A5" i="177"/>
  <c r="A5" i="170"/>
  <c r="A5" i="172"/>
  <c r="A5" i="174"/>
  <c r="I3" i="169"/>
  <c r="P3" i="186"/>
  <c r="AA3" i="185"/>
  <c r="AA3" i="184"/>
  <c r="AA3" i="183"/>
  <c r="AA3" i="182"/>
  <c r="BD3" i="180"/>
  <c r="Z3" i="180"/>
  <c r="N3" i="174"/>
  <c r="BD3" i="179"/>
  <c r="N3" i="176"/>
  <c r="N3" i="171"/>
  <c r="Z3" i="179"/>
  <c r="I3" i="178"/>
  <c r="N3" i="173"/>
  <c r="N3" i="175"/>
  <c r="N3" i="177"/>
  <c r="M3" i="170"/>
  <c r="N3" i="172"/>
  <c r="Z1" i="160"/>
  <c r="P1" i="186"/>
  <c r="AA1" i="185"/>
  <c r="AA1" i="184"/>
  <c r="AA1" i="183"/>
  <c r="AA1" i="182"/>
  <c r="BD1" i="180"/>
  <c r="Z1" i="180"/>
  <c r="N1" i="177"/>
  <c r="N1" i="172"/>
  <c r="M1" i="170"/>
  <c r="BD1" i="179"/>
  <c r="Z1" i="179"/>
  <c r="N1" i="174"/>
  <c r="N1" i="175"/>
  <c r="N1" i="171"/>
  <c r="N1" i="176"/>
  <c r="I1" i="178"/>
  <c r="N1" i="173"/>
  <c r="I4" i="169"/>
  <c r="P4" i="186"/>
  <c r="AA4" i="185"/>
  <c r="AA4" i="184"/>
  <c r="AA4" i="183"/>
  <c r="AA4" i="182"/>
  <c r="BD4" i="180"/>
  <c r="Z4" i="180"/>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2F6BF83-3236-40D0-AD90-60633932E79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B63BEC8-18E2-4167-9180-56885749470D}">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F7FEED2-ACF2-4288-94B1-97753F3F2166}">
      <text>
        <r>
          <rPr>
            <b/>
            <sz val="8"/>
            <color indexed="81"/>
            <rFont val="Tahoma"/>
            <family val="2"/>
          </rPr>
          <t xml:space="preserve">Currently NOT used.
</t>
        </r>
      </text>
    </comment>
    <comment ref="F13" authorId="3" shapeId="0" xr:uid="{17575794-4140-4CFE-9E44-5107AAB8ED4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9448377F-CC7E-4F0C-9080-B4A4139E2E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1C4B873-4F30-4D4C-8DDF-6C5AF835CA1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D7986EA-6488-4A5B-A838-DC439381625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AB40245A-729C-4933-AE0F-5C449B885A8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FEC0945-C81E-4AFE-9B8E-E988F5FE3713}">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28EC3CB8-391D-4A3F-BDC8-A34E1B2A166B}">
      <text>
        <r>
          <rPr>
            <b/>
            <sz val="8"/>
            <color indexed="81"/>
            <rFont val="Tahoma"/>
            <family val="2"/>
          </rPr>
          <t xml:space="preserve">Currently NOT used.
</t>
        </r>
      </text>
    </comment>
    <comment ref="F13" authorId="3" shapeId="0" xr:uid="{9949CE17-DC38-4928-9EF6-44FC8352560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57B58844-CBFA-4631-89C0-CFE6313B725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0F53851-0D5E-4D51-BC65-3C9C3CEF2AF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D9C985B-D708-4C50-991C-BC9B2F0D622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21B4629-A709-43E5-ADEB-AA146CFF961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EBECF94F-A3D6-4AA3-AFBB-CEA0B32796F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E0E9006-2C29-4FFB-930F-C0A3E5945C56}">
      <text>
        <r>
          <rPr>
            <b/>
            <sz val="8"/>
            <color indexed="81"/>
            <rFont val="Tahoma"/>
            <family val="2"/>
          </rPr>
          <t xml:space="preserve">Currently NOT used.
</t>
        </r>
      </text>
    </comment>
    <comment ref="F13" authorId="3" shapeId="0" xr:uid="{184C1816-A6A5-4FC4-9960-96238112E87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1F26550A-7703-4D73-A362-D0B2EE6C06F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B3909D0-D60D-49E8-8E3F-AF1F663B894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6EE5CB16-1C66-4208-8D30-D680A058351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E89FD101-C3F4-49C4-8824-9E0C689BA05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219C2198-ED5F-4191-8581-5D81AE5D1693}">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EB195BC-1358-44FF-905D-B3628EB56226}">
      <text>
        <r>
          <rPr>
            <b/>
            <sz val="8"/>
            <color indexed="81"/>
            <rFont val="Tahoma"/>
            <family val="2"/>
          </rPr>
          <t xml:space="preserve">Currently NOT used.
</t>
        </r>
      </text>
    </comment>
    <comment ref="F13" authorId="3" shapeId="0" xr:uid="{24BDC709-9BD1-47FC-AEAC-0A6E7347C4B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C4C9145-CAFF-413E-8C83-ED31E4E9F9C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E4FCF7E-F40D-4339-A9B1-00482B80203F}">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E3C3897-F6A5-4988-A40E-B970C12BC2D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92658424-53B2-422E-93C1-618682A4BFD7}">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DDD5D7D-566D-44DE-814C-7F76B893C20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802A891C-C1B4-4A75-97BD-75469AFF7715}">
      <text>
        <r>
          <rPr>
            <b/>
            <sz val="8"/>
            <color indexed="81"/>
            <rFont val="Tahoma"/>
            <family val="2"/>
          </rPr>
          <t xml:space="preserve">Currently NOT used.
</t>
        </r>
      </text>
    </comment>
    <comment ref="F13" authorId="3" shapeId="0" xr:uid="{5FE8BE97-9F05-4C6B-BCF0-E5B175DCEFB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12EF2DC-5FBD-4235-B8ED-C115B1E7234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2E098EE2-A2D5-4F28-9A83-CF05EB36459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5191F80-9AE0-4CD7-A4EA-0CAEEEE5B9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4BA12D6D-F861-467F-AFA6-931E985FB93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27B26A8-25BB-464F-817F-62B299239E5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A8A073A5-C01C-42A6-ACF6-83ABE2EA71BB}">
      <text>
        <r>
          <rPr>
            <b/>
            <sz val="8"/>
            <color indexed="81"/>
            <rFont val="Tahoma"/>
            <family val="2"/>
          </rPr>
          <t xml:space="preserve">Currently NOT used.
</t>
        </r>
      </text>
    </comment>
    <comment ref="F13" authorId="3" shapeId="0" xr:uid="{6D60D261-D49E-4A96-BC64-0BF6A2CD30E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CB20296D-E2DF-42B1-B919-87B1A5E232A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101474C-6C60-4E37-B164-DFB2FD2A50B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E91C58BE-BB9A-46FD-9949-3F26C4F54A0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3DE7B87-2919-4252-B76E-CCBCCCFA3CA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2BA570E-F733-4EDF-A43E-EAB57C9048E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50CB8D4E-4A43-4E15-A0B5-8F08F1B09483}">
      <text>
        <r>
          <rPr>
            <b/>
            <sz val="8"/>
            <color indexed="81"/>
            <rFont val="Tahoma"/>
            <family val="2"/>
          </rPr>
          <t xml:space="preserve">Currently NOT used.
</t>
        </r>
      </text>
    </comment>
    <comment ref="F13" authorId="3" shapeId="0" xr:uid="{906653A5-AAE9-45DA-99A8-8FA746655BE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7B251B9E-37E6-4A1A-A059-B4FA55CFBDF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FB4469A-4492-4D18-85CF-00B6D48AE9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847A61B-B0EE-4004-A903-2341BD478CA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C96199C8-7296-4679-8E07-AB834D13E22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5CBC47D-E604-4082-B4DB-3F8BB4CB9481}">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77FF8692-DB23-4937-9F5F-97F79FCBA9CE}">
      <text>
        <r>
          <rPr>
            <b/>
            <sz val="8"/>
            <color indexed="81"/>
            <rFont val="Tahoma"/>
            <family val="2"/>
          </rPr>
          <t xml:space="preserve">Currently NOT used.
</t>
        </r>
      </text>
    </comment>
    <comment ref="F13" authorId="3" shapeId="0" xr:uid="{DAD04E5C-BC4B-4FDC-9DAB-CDC49D2693F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A85430A-276A-4B73-8746-5A006EB0723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AC896A3-4AC8-42E4-9351-E4620338AF9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27B7148F-5D56-4F62-8CF6-62C82639BB2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C21DBC5-BFD6-4D77-9665-FABD36F554C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913BC16-9BAD-48BD-9D8A-B02FF0DCA46C}">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9C96B2C-6EDD-4287-9238-0BD93CA236CE}">
      <text>
        <r>
          <rPr>
            <b/>
            <sz val="8"/>
            <color indexed="81"/>
            <rFont val="Tahoma"/>
            <family val="2"/>
          </rPr>
          <t xml:space="preserve">Currently NOT used.
</t>
        </r>
      </text>
    </comment>
    <comment ref="F13" authorId="3" shapeId="0" xr:uid="{33EAE65E-8A82-4350-B284-BD48FB28A27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D59D088-14C7-4E90-9DB3-BCCC00E5E3A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93BE7C5A-4F4B-4BE4-9E6A-96AAA8020CD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46F3CF4-9FFE-400E-B7AD-EF16CA77F14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D51EDB4-B70C-41C8-9E0E-349EF07B92F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6A433B45-5E2C-4D7A-A2B8-D4D9882BE7B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838D3AE0-E410-4FFA-9A98-B015CECEA384}">
      <text>
        <r>
          <rPr>
            <b/>
            <sz val="8"/>
            <color indexed="81"/>
            <rFont val="Tahoma"/>
            <family val="2"/>
          </rPr>
          <t xml:space="preserve">Currently NOT used.
</t>
        </r>
      </text>
    </comment>
    <comment ref="F13" authorId="3" shapeId="0" xr:uid="{A1760647-BAFA-438E-BAFE-0A1C7B034E97}">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C2E642BD-896E-49C4-83A4-E453CF9C74A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82CFAB1-5684-44AC-A261-6C11BED9D79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C2877668-DFC5-43B8-BB68-2F0FD9B306A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2A916BA-1D77-49E6-888C-68F58AD50467}">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6BAEB738-E99C-4520-A083-17DA223DF50B}">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94FCFA9-FB7A-44D1-A767-DED163989862}">
      <text>
        <r>
          <rPr>
            <b/>
            <sz val="8"/>
            <color indexed="81"/>
            <rFont val="Tahoma"/>
            <family val="2"/>
          </rPr>
          <t xml:space="preserve">Currently NOT used.
</t>
        </r>
      </text>
    </comment>
    <comment ref="F13" authorId="3" shapeId="0" xr:uid="{F4B3451D-CAFB-416B-9FBD-81CC3F999827}">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3821EA7-46BB-4F4E-90BD-384E5EB0380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35E5627-2686-4041-A625-287B92D87F1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CB76EFFF-41C6-45D4-A46E-2E9F7849911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C092D836-7EE2-4880-892C-E86532BC2FD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49512E7-4328-49FE-BA95-E6D4DAB2A00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07DE3-772D-43C0-A704-EB8C42B74A0E}">
      <text>
        <r>
          <rPr>
            <b/>
            <sz val="8"/>
            <color indexed="81"/>
            <rFont val="Tahoma"/>
            <family val="2"/>
          </rPr>
          <t xml:space="preserve">Currently NOT used.
</t>
        </r>
      </text>
    </comment>
    <comment ref="F13" authorId="3" shapeId="0" xr:uid="{A6168A12-8C3E-4A59-AEA0-4A66278DFF8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E178C9C4-DE5A-4B6E-A72A-92ECE09ECF5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E8D762C7-9DD1-4B07-8017-E7BD8AD220E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9C1A407-60F9-4602-A27E-28818B6884F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C87DAD3-0CB4-40AE-BC69-569BC75F75F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15EB676-2F72-4877-8527-C5656E091A8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51E8D90-43C7-480D-8BDE-1513F2E9970B}">
      <text>
        <r>
          <rPr>
            <b/>
            <sz val="8"/>
            <color indexed="81"/>
            <rFont val="Tahoma"/>
            <family val="2"/>
          </rPr>
          <t xml:space="preserve">Currently NOT used.
</t>
        </r>
      </text>
    </comment>
    <comment ref="F13" authorId="3" shapeId="0" xr:uid="{64462EBF-731B-41A0-AE5D-0659B586EC1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D1002E9B-988C-4EFA-9E82-23DB19A442B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5C1DA80-5347-4012-A664-A4A19635000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6826FF6-06B0-4C7E-9A2B-9184EE8EED6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6867C81-1AC8-4B24-B510-86408F727D9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F54B6DC-C733-4C8D-8775-F9030ACB44A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3A39DEF-551B-4F73-B116-7A2DC179EC43}">
      <text>
        <r>
          <rPr>
            <b/>
            <sz val="8"/>
            <color indexed="81"/>
            <rFont val="Tahoma"/>
            <family val="2"/>
          </rPr>
          <t xml:space="preserve">Currently NOT used.
</t>
        </r>
      </text>
    </comment>
    <comment ref="F13" authorId="3" shapeId="0" xr:uid="{066317C0-B65C-40BB-8DCD-4DCBCCCAD4F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47B3483-68B9-402C-B542-3D8D393D85B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3C84F1D-687E-4FA3-8D92-8EE65FA2BC8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4852C31-DB86-4D29-9524-43999A7C3D8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23B3907B-7F2B-42AB-88CD-08A60D950F5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6FB1E93-8989-4036-A1B1-4FE23F44B025}">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2FA518E-3C8A-43BB-95DA-EDA4262A25AC}">
      <text>
        <r>
          <rPr>
            <b/>
            <sz val="8"/>
            <color indexed="81"/>
            <rFont val="Tahoma"/>
            <family val="2"/>
          </rPr>
          <t xml:space="preserve">Currently NOT used.
</t>
        </r>
      </text>
    </comment>
    <comment ref="F13" authorId="3" shapeId="0" xr:uid="{36FB352E-8945-4051-9668-B5D347DD153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964EB76-AE59-4206-82A1-01E3AC689A2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5221BEF-4C16-4537-9A16-D5A932515E12}">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91568DE-5DBD-4930-8A9F-D88BC379161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CE1E9741-E3FF-4600-8F55-190729B8D55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B5E54FA-B6C5-452A-BAE5-AC0007651D7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54032E2-3E19-491F-99DA-B68202997A70}">
      <text>
        <r>
          <rPr>
            <b/>
            <sz val="8"/>
            <color indexed="81"/>
            <rFont val="Tahoma"/>
            <family val="2"/>
          </rPr>
          <t xml:space="preserve">Currently NOT used.
</t>
        </r>
      </text>
    </comment>
    <comment ref="F13" authorId="3" shapeId="0" xr:uid="{775EAB1D-DA30-4D6E-8767-1B36D1D512B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95BB3651-6359-4A1A-99A7-7670362B541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30E09B7-6D6B-4792-BCF4-378DA5AF733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C9F2CBC-897D-453A-BD47-28B99A27DF8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155B0A1-9EFD-4160-9498-2679656975C2}">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2A10D596-9DF8-435B-8274-00D64BD00E4C}">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D7F0A9E-4524-4586-BAD3-A16EB8FA406B}">
      <text>
        <r>
          <rPr>
            <b/>
            <sz val="8"/>
            <color indexed="81"/>
            <rFont val="Tahoma"/>
            <family val="2"/>
          </rPr>
          <t xml:space="preserve">Currently NOT used.
</t>
        </r>
      </text>
    </comment>
    <comment ref="F13" authorId="3" shapeId="0" xr:uid="{2942428F-94A0-4FC3-8B9D-0C18D1D4853C}">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18E84E63-8868-4CA6-8703-AA8A6EFA4B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152B5CA-17E0-4130-81F9-D6AFD9F2964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99AF1D2-8D2B-4C0C-9BB7-B0B28C0AE92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7A88991-8F1F-43C2-B789-F2B324A49741}">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294BD19-2F0D-4DDD-8F21-07591119C21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9620C15-2991-4299-A255-321C300A5F72}">
      <text>
        <r>
          <rPr>
            <b/>
            <sz val="8"/>
            <color indexed="81"/>
            <rFont val="Tahoma"/>
            <family val="2"/>
          </rPr>
          <t xml:space="preserve">Currently NOT used.
</t>
        </r>
      </text>
    </comment>
    <comment ref="F13" authorId="3" shapeId="0" xr:uid="{8CA4FAEC-1795-4222-A18E-50FFC693005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CCA53D3-E4D1-4108-84CB-E30830BC990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AF12889-BF48-4D4D-8CEA-83B2FA3500D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A11CD1F-4718-4A0E-95B8-9E811855F76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4CFB8EA6-F65C-4D82-BFDC-8C10E252594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36AF6651-F9C5-4D6F-9615-7C29FE5A88B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993B14F6-A5A9-44A9-912D-BD4AD137149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6D682389-BB83-447D-BB1D-02839D752F3C}">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5B6756E2-3805-44DC-8F2D-C00639FCAD6B}">
      <text>
        <r>
          <rPr>
            <b/>
            <sz val="9"/>
            <color indexed="81"/>
            <rFont val="Tahoma"/>
            <family val="2"/>
          </rPr>
          <t>Rich Sellers:</t>
        </r>
        <r>
          <rPr>
            <sz val="9"/>
            <color indexed="81"/>
            <rFont val="Tahoma"/>
            <family val="2"/>
          </rPr>
          <t xml:space="preserve">
</t>
        </r>
      </text>
    </comment>
    <comment ref="AB12" authorId="0" shapeId="0" xr:uid="{ADE81E4C-0660-4FCA-AA6D-2AF46C7CC6A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5E6C2639-9880-4F87-A0E9-17621D6983F7}">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E8854F1-E297-482D-925B-7121F3FA8599}">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9D82588-3D1C-4FA0-BA80-C70BFF213FE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1A37A316-9DCC-4BD2-8280-253D6C3610F2}">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9FD061C-3221-44A1-A8C7-2A9481C2E91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163A9EB-DE93-4C68-A3A9-38758BD5A24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970A7993-56A6-4801-912E-2FA05AFB7DC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C6C12A4-7156-428F-85A4-2EE48D71403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87321348-BA02-4EF2-901B-FBA9A8CE23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A5C20C7-E1B7-4F31-8644-A737BC2E64F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8CE6B958-2779-48CC-82F8-A16D6012025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38A85BA-5612-4282-BFE2-164C43A1CA3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065EE4A-F130-4235-AA58-D13FAB6A640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9CB2C1B8-06F5-411B-BCAD-F0C694141F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9D09246-1EBF-4C16-B28C-33AB9E821C69}">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EACDB3E4-EAAF-45AA-BD40-B5A3B5DADC90}">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CD283ADE-8456-40E6-8033-4C35A6DB2974}">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B365489-963B-4592-AAF3-4243D5B2E109}">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A4992E3E-AE89-4524-A3F6-9B0E3CCAEAE6}">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D69931B-95B3-49CF-8705-6870F2FD71BD}">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6B35AD36-0FAF-4048-8C2B-F110F8E5AD8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ED802D-AA97-4A0B-9B9A-2064062E7FBF}">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10845950-B344-408F-9038-D1E26601A8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D61CE968-A533-48FF-A4FB-729897D5752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D260368-90CA-4A62-A057-03FF1172B09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EE40A8E7-F315-446C-9114-D4212BFC454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6FB5A0CE-6F26-4EB7-BA7D-6C114FFB120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1FE41F61-4C87-4B0C-82AE-28D74E835E1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49E8FBB-F38B-42BE-A0C7-7F9EC5CFE25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1E4827A-0DE5-4C2A-89A3-3C6F7D82DA7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2F08A4-9774-4400-A201-EC569549771D}">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AE128DCD-5EA9-49CE-B489-209F8EC21076}">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56353CD-598E-418E-A024-1CA2784A1612}">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F2D9CD8-CB2B-4AFD-B064-BA325EE5BF52}">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<sst xmlns="http://schemas.openxmlformats.org/spreadsheetml/2006/main" count="20283" uniqueCount="1905">
  <si>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</si>
  <si>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</si>
  <si>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</si>
  <si>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</si>
  <si>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</si>
  <si>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</si>
  <si>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</si>
  <si>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</si>
  <si>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</si>
  <si>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</si>
  <si>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</si>
  <si>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</si>
  <si>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</si>
  <si>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</si>
  <si>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</si>
  <si>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</si>
  <si>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</si>
  <si>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</si>
  <si>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</si>
  <si>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</si>
  <si>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</si>
  <si>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</si>
  <si>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</si>
  <si>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</si>
  <si>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</si>
  <si>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</si>
  <si>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</si>
  <si>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</si>
  <si>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</si>
  <si>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</si>
  <si>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</si>
  <si>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</si>
  <si>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</si>
  <si>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</si>
  <si>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</si>
  <si>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</si>
  <si>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</si>
  <si>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</si>
  <si>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</si>
  <si>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</si>
  <si>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</si>
  <si>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</si>
  <si>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</si>
  <si>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</si>
  <si>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</si>
  <si>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</si>
  <si>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</si>
  <si>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</si>
  <si>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</si>
  <si>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</si>
  <si>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</si>
  <si>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</si>
  <si>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</si>
  <si>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</si>
  <si>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</si>
  <si>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</si>
  <si>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</si>
  <si>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</si>
  <si>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</si>
  <si>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</si>
  <si>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</si>
  <si>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</si>
  <si>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</si>
  <si>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</si>
  <si>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</si>
  <si>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</si>
  <si>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</si>
  <si>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</si>
  <si>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</si>
  <si>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</si>
  <si>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</si>
  <si>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</si>
  <si>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</si>
  <si>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</si>
  <si>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</si>
  <si>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</si>
  <si>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</si>
  <si>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</si>
  <si>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</si>
  <si>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</si>
  <si>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</si>
  <si>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</si>
  <si>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</si>
  <si>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</si>
  <si>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</si>
  <si>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</si>
  <si>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</si>
  <si>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</si>
  <si>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</si>
  <si>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</si>
  <si>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</si>
  <si>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</si>
  <si>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</si>
  <si>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</si>
  <si>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</si>
  <si>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</si>
  <si>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</si>
  <si>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</si>
  <si>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</si>
  <si>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</si>
  <si>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</si>
  <si>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</si>
  <si>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</si>
  <si>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</si>
  <si>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</si>
  <si>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</si>
  <si>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</si>
  <si>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</si>
  <si>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</si>
  <si>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</si>
  <si>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</si>
  <si>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</si>
  <si>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</si>
  <si>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</si>
  <si>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</si>
  <si>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</si>
  <si>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</si>
  <si>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</si>
  <si>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</si>
  <si>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</si>
  <si>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</si>
  <si>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</si>
  <si>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</si>
  <si>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</si>
  <si>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</si>
  <si>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</si>
  <si>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</si>
  <si>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</si>
  <si>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</si>
  <si>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</si>
  <si>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</si>
  <si>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</si>
  <si>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</si>
  <si>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</si>
  <si>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</si>
  <si>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</si>
  <si>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</si>
  <si>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</si>
  <si>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</si>
  <si>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</si>
  <si>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</si>
  <si>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</si>
  <si>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</si>
  <si>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</si>
  <si>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</si>
  <si>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</si>
  <si>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</si>
  <si>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</si>
  <si>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</si>
  <si>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</si>
  <si>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</si>
  <si>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</si>
  <si>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</si>
  <si>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</si>
  <si>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</si>
  <si>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</si>
  <si>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</si>
  <si>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</si>
  <si>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</si>
  <si>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</si>
  <si>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</si>
  <si>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</si>
  <si>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</si>
  <si>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</si>
  <si>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</si>
  <si>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</si>
  <si>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</si>
  <si>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</si>
  <si>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</si>
  <si>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</si>
  <si>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</si>
  <si>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</si>
  <si>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</si>
  <si>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</si>
  <si>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</si>
  <si>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</si>
  <si>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</si>
  <si>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</si>
  <si>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</si>
  <si>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</si>
  <si>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</si>
  <si>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</si>
  <si>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</si>
  <si>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</si>
  <si>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</si>
  <si>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</si>
  <si>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</si>
  <si>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</si>
  <si>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</si>
  <si>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</si>
  <si>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</si>
  <si>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</si>
  <si>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</si>
  <si>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</si>
  <si>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</si>
  <si>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</si>
  <si>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</si>
  <si>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</si>
  <si>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</si>
  <si>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</si>
  <si>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</si>
  <si>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</si>
  <si>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</si>
  <si>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</si>
  <si>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</si>
  <si>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</si>
  <si>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</si>
  <si>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</si>
  <si>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</si>
  <si>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</si>
  <si>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</si>
  <si>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</si>
  <si>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</si>
  <si>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</si>
  <si>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</si>
  <si>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</si>
  <si>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</si>
  <si>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</si>
  <si>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</si>
  <si>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</si>
  <si>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</si>
  <si>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</si>
  <si>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</si>
  <si>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</si>
  <si>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</si>
  <si>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</si>
  <si>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</si>
  <si>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</si>
  <si>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</si>
  <si>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</si>
  <si>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</si>
  <si>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</si>
  <si>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</si>
  <si>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</si>
  <si>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</si>
  <si>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</si>
  <si>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</si>
  <si>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</si>
  <si>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</si>
  <si>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</si>
  <si>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</si>
  <si>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</si>
  <si>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</si>
  <si>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</si>
  <si>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</si>
  <si>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</si>
  <si>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</si>
  <si>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</si>
  <si>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</si>
  <si>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</si>
  <si>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</si>
  <si>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</si>
  <si>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</si>
  <si>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</si>
  <si>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</si>
  <si>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</si>
  <si>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</si>
  <si>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</si>
  <si>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</si>
  <si>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</si>
  <si>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</si>
  <si>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</si>
  <si>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</si>
  <si>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</si>
  <si>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</si>
  <si>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</si>
  <si>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</si>
  <si>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</si>
  <si>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</si>
  <si>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</si>
  <si>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</si>
  <si>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</si>
  <si>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</si>
  <si>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</si>
  <si>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</si>
  <si>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</si>
  <si>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</si>
  <si>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</si>
  <si>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</si>
  <si>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</si>
  <si>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</si>
  <si>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</si>
  <si>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</si>
  <si>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</si>
  <si>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</si>
  <si>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</si>
  <si>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</si>
  <si>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</si>
  <si>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</si>
  <si>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</si>
  <si>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</si>
  <si>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</si>
  <si>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</si>
  <si>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</si>
  <si>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</si>
  <si>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</si>
  <si>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</si>
  <si>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</si>
  <si>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</si>
  <si>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</si>
  <si>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</si>
  <si>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</si>
  <si>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</si>
  <si>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</si>
  <si>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</si>
  <si>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</si>
  <si>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</si>
  <si>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</si>
  <si>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</si>
  <si>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</si>
  <si>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</si>
  <si>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</si>
  <si>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</si>
  <si>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</si>
  <si>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</si>
  <si>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</si>
  <si>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</si>
  <si>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</si>
  <si>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</si>
  <si>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</si>
  <si>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</si>
  <si>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</si>
  <si>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</si>
  <si>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</si>
  <si>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</si>
  <si>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</si>
  <si>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</si>
  <si>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</si>
  <si>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</si>
  <si>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</si>
  <si>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</si>
  <si>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</si>
  <si>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</si>
  <si>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</si>
  <si>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</si>
  <si>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</si>
  <si>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</si>
  <si>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</si>
  <si>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</si>
  <si>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</si>
  <si>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</si>
  <si>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</si>
  <si>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</si>
  <si>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</si>
  <si>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</si>
  <si>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</si>
  <si>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</si>
  <si>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</si>
  <si>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</si>
  <si>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</si>
  <si>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</si>
  <si>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</si>
  <si>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</si>
  <si>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</si>
  <si>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</si>
  <si>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</si>
  <si>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</si>
  <si>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</si>
  <si>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</si>
  <si>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</si>
  <si>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</si>
  <si>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</si>
  <si>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</si>
  <si>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</si>
  <si>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</si>
  <si>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</si>
  <si>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</si>
  <si>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</si>
  <si>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</si>
  <si>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</si>
  <si>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</si>
  <si>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</si>
  <si>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</si>
  <si>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</si>
  <si>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</si>
  <si>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</si>
  <si>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</si>
  <si>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</si>
  <si>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</si>
  <si>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</si>
  <si>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</si>
  <si>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</si>
  <si>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</si>
  <si>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</si>
  <si>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</si>
  <si>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</si>
  <si>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</si>
  <si>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</si>
  <si>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</si>
  <si>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</si>
  <si>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</si>
  <si>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</si>
  <si>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</si>
  <si>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</si>
  <si>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</si>
  <si>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</si>
  <si>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</si>
  <si>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</si>
  <si>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</si>
  <si>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</si>
  <si>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</si>
  <si>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</si>
  <si>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</si>
  <si>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</si>
  <si>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</si>
  <si>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</si>
  <si>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</si>
  <si>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</si>
  <si>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</si>
  <si>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</si>
  <si>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</si>
  <si>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</si>
  <si>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</si>
  <si>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</si>
  <si>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</si>
  <si>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</si>
  <si>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</si>
  <si>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</si>
  <si>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</si>
  <si>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</si>
  <si>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</si>
  <si>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</si>
  <si>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</si>
  <si>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</si>
  <si>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</si>
  <si>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</si>
  <si>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</si>
  <si>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</si>
  <si>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</si>
  <si>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</si>
  <si>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</si>
  <si>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</si>
  <si>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</si>
  <si>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</si>
  <si>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</si>
  <si>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</si>
  <si>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</si>
  <si>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</si>
  <si>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</si>
  <si>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</si>
  <si>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</si>
  <si>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</si>
  <si>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</si>
  <si>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</si>
  <si>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</si>
  <si>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</si>
  <si>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</si>
  <si>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</si>
  <si>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</si>
  <si>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</si>
  <si>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</si>
  <si>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</si>
  <si>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</si>
  <si>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</si>
  <si>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</si>
  <si>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</si>
  <si>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</si>
  <si>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</si>
  <si>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</si>
  <si>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</si>
  <si>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</si>
  <si>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</si>
  <si>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</si>
  <si>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</si>
  <si>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</si>
  <si>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</si>
  <si>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</si>
  <si>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</si>
  <si>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</si>
  <si>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</si>
  <si>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</si>
  <si>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</si>
  <si>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</si>
  <si>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</si>
  <si>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</si>
  <si>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</si>
  <si>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</si>
  <si>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</si>
  <si>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</si>
  <si>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</si>
  <si>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</si>
  <si>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</si>
  <si>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</si>
  <si>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</si>
  <si>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</si>
  <si>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</si>
  <si>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</si>
  <si>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</si>
  <si>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</si>
  <si>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</si>
  <si>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</si>
  <si>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</si>
  <si>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</si>
  <si>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</si>
  <si>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</si>
  <si>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</si>
  <si>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</si>
  <si>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</si>
  <si>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</si>
  <si>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</si>
  <si>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</si>
  <si>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</si>
  <si>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</si>
  <si>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</si>
  <si>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</si>
  <si>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</si>
  <si>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</si>
  <si>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</si>
  <si>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</si>
  <si>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</si>
  <si>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</si>
  <si>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</si>
  <si>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</si>
  <si>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</si>
  <si>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</si>
  <si>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</si>
  <si>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</si>
  <si>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</si>
  <si>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</si>
  <si>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</si>
  <si>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</si>
  <si>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</si>
  <si>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</si>
  <si>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</si>
  <si>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</si>
  <si>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</si>
  <si>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</si>
  <si>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</si>
  <si>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</si>
  <si>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</si>
  <si>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</si>
  <si>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</si>
  <si>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</si>
  <si>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</si>
  <si>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</si>
  <si>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</si>
  <si>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</si>
  <si>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</si>
  <si>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</si>
  <si>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</si>
  <si>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</si>
  <si>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</si>
  <si>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</si>
  <si>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</si>
  <si>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</si>
  <si>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</si>
  <si>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</si>
  <si>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</si>
  <si>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</si>
  <si>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</si>
  <si>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</si>
  <si>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</si>
  <si>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</si>
  <si>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</si>
  <si>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</si>
  <si>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</si>
  <si>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</si>
  <si>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</si>
  <si>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</si>
  <si>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</si>
  <si>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</si>
  <si>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</si>
  <si>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</si>
  <si>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</si>
  <si>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</si>
  <si>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</si>
  <si>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</si>
  <si>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</si>
  <si>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</si>
  <si>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</si>
  <si>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</si>
  <si>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</si>
  <si>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</si>
  <si>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</si>
  <si>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</si>
  <si>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</si>
  <si>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</si>
  <si>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</si>
  <si>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</si>
  <si>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</si>
  <si>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</si>
  <si>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</si>
  <si>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</si>
  <si>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</si>
  <si>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</si>
  <si>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</si>
  <si>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</si>
  <si>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</si>
  <si>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</si>
  <si>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</si>
  <si>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</si>
  <si>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</si>
  <si>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</si>
  <si>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</si>
  <si>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</si>
  <si>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</si>
  <si>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</si>
  <si>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</si>
  <si>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</si>
  <si>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</si>
  <si>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</si>
  <si>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</si>
  <si>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</si>
  <si>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</si>
  <si>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</si>
  <si>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</si>
  <si>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</si>
  <si>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</si>
  <si>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</si>
  <si>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</si>
  <si>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</si>
  <si>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</si>
  <si>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</si>
  <si>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</si>
  <si>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</si>
  <si>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</si>
  <si>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</si>
  <si>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</si>
  <si>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</si>
  <si>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</si>
  <si>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</si>
  <si>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</si>
  <si>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</si>
  <si>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</si>
  <si>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</si>
  <si>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</si>
  <si>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</si>
  <si>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</si>
  <si>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</si>
  <si>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</si>
  <si>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</si>
  <si>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</si>
  <si>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</si>
  <si>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</si>
  <si>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</si>
  <si>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</si>
  <si>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</si>
  <si>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</si>
  <si>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</si>
  <si>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</si>
  <si>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</si>
  <si>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</si>
  <si>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</si>
  <si>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</si>
  <si>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</si>
  <si>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</si>
  <si>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</si>
  <si>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</si>
  <si>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</si>
  <si>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</si>
  <si>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</si>
  <si>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</si>
  <si>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</si>
  <si>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</si>
  <si>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</si>
  <si>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</si>
  <si>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</si>
  <si>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</si>
  <si>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</si>
  <si>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</si>
  <si>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</si>
  <si>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</si>
  <si>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</si>
  <si>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</si>
  <si>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</si>
  <si>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</si>
  <si>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</si>
  <si>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</si>
  <si>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</si>
  <si>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</si>
  <si>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</si>
  <si>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</si>
  <si>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</si>
  <si>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</si>
  <si>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</si>
  <si>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</si>
  <si>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</si>
  <si>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</si>
  <si>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</si>
  <si>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</si>
  <si>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</si>
  <si>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</si>
  <si>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</si>
  <si>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</si>
  <si>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</si>
  <si>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</si>
  <si>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</si>
  <si>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</si>
  <si>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</si>
  <si>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</si>
  <si>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</si>
  <si>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</si>
  <si>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</si>
  <si>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</si>
  <si>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</si>
  <si>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</si>
  <si>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</si>
  <si>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</si>
  <si>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</si>
  <si>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</si>
  <si>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</si>
  <si>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</si>
  <si>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</si>
  <si>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</si>
  <si>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</si>
  <si>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</si>
  <si>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</si>
  <si>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</si>
  <si>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</si>
  <si>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</si>
  <si>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</si>
  <si>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</si>
  <si>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</si>
  <si>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</si>
  <si>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</si>
  <si>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</si>
  <si>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</si>
  <si>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</si>
  <si>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</si>
  <si>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</si>
  <si>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</si>
  <si>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</si>
  <si>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</si>
  <si>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</si>
  <si>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</si>
  <si>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</si>
  <si>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</si>
  <si>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</si>
  <si>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</si>
  <si>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</si>
  <si>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</si>
  <si>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</si>
  <si>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</si>
  <si>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</si>
  <si>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</si>
  <si>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</si>
  <si>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</si>
  <si>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</si>
  <si>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</si>
  <si>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</si>
  <si>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</si>
  <si>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</si>
  <si>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</si>
  <si>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</si>
  <si>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</si>
  <si>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</si>
  <si>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</si>
  <si>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</si>
  <si>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</si>
  <si>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</si>
  <si>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</si>
  <si>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</si>
  <si>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</si>
  <si>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</si>
  <si>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</si>
  <si>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</si>
  <si>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</si>
  <si>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</si>
  <si>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</si>
  <si>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</si>
  <si>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</si>
  <si>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</si>
  <si>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</si>
  <si>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</si>
  <si>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</si>
  <si>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</si>
  <si>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</si>
  <si>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</si>
  <si>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</si>
  <si>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</si>
  <si>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</si>
  <si>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</si>
  <si>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</si>
  <si>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</si>
  <si>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</si>
  <si>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</si>
  <si>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</si>
  <si>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</si>
  <si>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</si>
  <si>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</si>
  <si>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</si>
  <si>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</si>
  <si>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</si>
  <si>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</si>
  <si>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</si>
  <si>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</si>
  <si>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</si>
  <si>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</si>
  <si>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</si>
  <si>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</si>
  <si>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</si>
  <si>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</si>
  <si>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</si>
  <si>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</si>
  <si>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</si>
  <si>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</si>
  <si>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</si>
  <si>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</si>
  <si>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</si>
  <si>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</si>
  <si>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</si>
  <si>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</si>
  <si>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</si>
  <si>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</si>
  <si>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</si>
  <si>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</si>
  <si>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</si>
  <si>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</si>
  <si>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</si>
  <si>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</si>
  <si>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</si>
  <si>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</si>
  <si>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</si>
  <si>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</si>
  <si>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</si>
  <si>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</si>
  <si>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</si>
  <si>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</si>
  <si>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</si>
  <si>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</si>
  <si>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</si>
  <si>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</si>
  <si>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</si>
  <si>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</si>
  <si>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</si>
  <si>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</si>
  <si>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</si>
  <si>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</si>
  <si>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</si>
  <si>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</si>
  <si>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</si>
  <si>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</si>
  <si>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</si>
  <si>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</si>
  <si>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</si>
  <si>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</si>
  <si>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</si>
  <si>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</si>
  <si>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</si>
  <si>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</si>
  <si>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</si>
  <si>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</si>
  <si>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</si>
  <si>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</si>
  <si>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</si>
  <si>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</si>
  <si>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</si>
  <si>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</si>
  <si>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</si>
  <si>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</si>
  <si>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</si>
  <si>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</si>
  <si>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</si>
  <si>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</si>
  <si>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</si>
  <si>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</si>
  <si>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</si>
  <si>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</si>
  <si>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</si>
  <si>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</si>
  <si>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</si>
  <si>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</si>
  <si>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</si>
  <si>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</si>
  <si>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</si>
  <si>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</si>
  <si>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</si>
  <si>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</si>
  <si>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</si>
  <si>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</si>
  <si>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</si>
  <si>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</si>
  <si>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</si>
  <si>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</si>
  <si>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</si>
  <si>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</si>
  <si>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</si>
  <si>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</si>
  <si>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</si>
  <si>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</si>
  <si>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</si>
  <si>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</si>
  <si>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</si>
  <si>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</si>
  <si>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</si>
  <si>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</si>
  <si>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</si>
  <si>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</si>
  <si>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</si>
  <si>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</si>
  <si>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</si>
  <si>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</si>
  <si>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</si>
  <si>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</si>
  <si>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</si>
  <si>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</si>
  <si>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</si>
  <si>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</si>
  <si>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</si>
  <si>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</si>
  <si>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</si>
  <si>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</si>
  <si>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</si>
  <si>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</si>
  <si>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</si>
  <si>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</si>
  <si>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</si>
  <si>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</si>
  <si>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</si>
  <si>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</si>
  <si>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</si>
  <si>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</si>
  <si>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</si>
  <si>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</si>
  <si>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</si>
  <si>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</si>
  <si>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</si>
  <si>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</si>
  <si>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</si>
  <si>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</si>
  <si>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</si>
  <si>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</si>
  <si>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</si>
  <si>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</si>
  <si>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</si>
  <si>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</si>
  <si>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</si>
  <si>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</si>
  <si>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</si>
  <si>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</si>
  <si>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</si>
  <si>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</si>
  <si>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</si>
  <si>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</si>
  <si>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</si>
  <si>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</si>
  <si>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</si>
  <si>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</si>
  <si>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</si>
  <si>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</si>
  <si>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</si>
  <si>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</si>
  <si>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</si>
  <si>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</si>
  <si>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</si>
  <si>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</si>
  <si>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</si>
  <si>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</si>
  <si>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</si>
  <si>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</si>
  <si>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</si>
  <si>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</si>
  <si>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</si>
  <si>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</si>
  <si>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</si>
  <si>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</si>
  <si>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</si>
  <si>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</si>
  <si>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</si>
  <si>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</si>
  <si>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</si>
  <si>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</si>
  <si>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</si>
  <si>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</si>
  <si>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</si>
  <si>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</si>
  <si>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</si>
  <si>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</si>
  <si>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</si>
  <si>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</si>
  <si>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</si>
  <si>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</si>
  <si>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</si>
  <si>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</si>
  <si>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</si>
  <si>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</si>
  <si>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</si>
  <si>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</si>
  <si>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</si>
  <si>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</si>
  <si>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</si>
  <si>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</si>
  <si>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</si>
  <si>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</si>
  <si>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</si>
  <si>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</si>
  <si>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</si>
  <si>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</si>
  <si>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</si>
  <si>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</si>
  <si>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</si>
  <si>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</si>
  <si>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</si>
  <si>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</si>
  <si>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</si>
  <si>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</si>
  <si>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</si>
  <si>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</si>
  <si>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</si>
  <si>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</si>
  <si>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</si>
  <si>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</si>
  <si>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</si>
  <si>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</si>
  <si>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</si>
  <si>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</si>
  <si>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</si>
  <si>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</si>
  <si>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</si>
  <si>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</si>
  <si>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</si>
  <si>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</si>
  <si>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</si>
  <si>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</si>
  <si>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</si>
  <si>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</si>
  <si>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</si>
  <si>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</si>
  <si>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</si>
  <si>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</si>
  <si>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</si>
  <si>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</si>
  <si>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</si>
  <si>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</si>
  <si>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</si>
  <si>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</si>
  <si>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</si>
  <si>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</si>
  <si>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</si>
  <si>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</si>
  <si>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</si>
  <si>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</si>
  <si>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</si>
  <si>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</si>
  <si>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</si>
  <si>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</si>
  <si>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</si>
  <si>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</si>
  <si>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</si>
  <si>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</si>
  <si>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</si>
  <si>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</si>
  <si>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</si>
  <si>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</si>
  <si>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</si>
  <si>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</si>
  <si>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</si>
  <si>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</si>
  <si>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</si>
  <si>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</si>
  <si>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</si>
  <si>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</si>
  <si>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</si>
  <si>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</si>
  <si>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</si>
  <si>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</si>
  <si>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</si>
  <si>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</si>
  <si>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</si>
  <si>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</si>
  <si>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</si>
  <si>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</si>
  <si>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</si>
  <si>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</si>
  <si>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</si>
  <si>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</si>
  <si>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</si>
  <si>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</si>
  <si>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</si>
  <si>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</si>
  <si>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</si>
  <si>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</si>
  <si>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</si>
  <si>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</si>
  <si>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</si>
  <si>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</si>
  <si>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</si>
  <si>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</si>
  <si>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</si>
  <si>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</si>
  <si>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</si>
  <si>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</si>
  <si>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</si>
  <si>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</si>
  <si>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</si>
  <si>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</si>
  <si>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</si>
  <si>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</si>
  <si>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</si>
  <si>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</si>
  <si>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</si>
  <si>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</si>
  <si>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</si>
  <si>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</si>
  <si>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</si>
  <si>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</si>
  <si>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</si>
  <si>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</si>
  <si>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</si>
  <si>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</si>
  <si>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</si>
  <si>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</si>
  <si>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</si>
  <si>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</si>
  <si>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</si>
  <si>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</si>
  <si>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</si>
  <si>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</si>
  <si>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</si>
  <si>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</si>
  <si>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</si>
  <si>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</si>
  <si>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</si>
  <si>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</si>
  <si>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</si>
  <si>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</si>
  <si>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</si>
  <si>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</si>
  <si>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</si>
  <si>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</si>
  <si>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</si>
  <si>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</si>
  <si>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</si>
  <si>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</si>
  <si>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</si>
  <si>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</si>
  <si>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</si>
  <si>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</si>
  <si>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</si>
  <si>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</si>
  <si>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</si>
  <si>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</si>
  <si>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</si>
  <si>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</si>
  <si>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</si>
  <si>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</si>
  <si>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</si>
  <si>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</si>
  <si>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</si>
  <si>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</si>
  <si>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</si>
  <si>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</si>
  <si>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</si>
  <si>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</si>
  <si>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</si>
  <si>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</si>
  <si>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</si>
  <si>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</si>
  <si>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</si>
  <si>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</si>
  <si>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</si>
  <si>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</si>
  <si>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</si>
  <si>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</si>
  <si>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</si>
  <si>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</si>
  <si>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</si>
  <si>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</si>
  <si>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</si>
  <si>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</si>
  <si>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</si>
  <si>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</si>
  <si>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</si>
  <si>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</si>
  <si>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</si>
  <si>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</si>
  <si>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</si>
  <si>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</si>
  <si>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</si>
  <si>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</si>
  <si>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</si>
  <si>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</si>
  <si>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</si>
  <si>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</si>
  <si>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</si>
  <si>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</si>
  <si>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</si>
  <si>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</si>
  <si>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</si>
  <si>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</si>
  <si>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</si>
  <si>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</si>
  <si>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</si>
  <si>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</si>
  <si>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</si>
  <si>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</si>
  <si>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</si>
  <si>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</si>
  <si>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</si>
  <si>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</si>
  <si>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</si>
  <si>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</si>
  <si>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</si>
  <si>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</si>
  <si>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</si>
  <si>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</si>
  <si>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</si>
  <si>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</si>
  <si>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</si>
  <si>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</si>
  <si>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</si>
  <si>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</si>
  <si>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</si>
  <si>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</si>
  <si>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</si>
  <si>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</si>
  <si>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</si>
  <si>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</si>
  <si>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</si>
  <si>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</si>
  <si>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</si>
  <si>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</si>
  <si>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</si>
  <si>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</si>
  <si>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</si>
  <si>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</si>
  <si>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</si>
  <si>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</si>
  <si>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</si>
  <si>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</si>
  <si>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</si>
  <si>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</si>
  <si>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</si>
  <si>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</si>
  <si>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</si>
  <si>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</si>
  <si>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</si>
  <si>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</si>
  <si>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</si>
  <si>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</si>
  <si>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</si>
  <si>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</si>
  <si>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</si>
  <si>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</si>
  <si>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</si>
  <si>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</si>
  <si>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</si>
  <si>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</si>
  <si>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</si>
  <si>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</si>
  <si>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</si>
  <si>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</si>
  <si>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</si>
  <si>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</si>
  <si>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</si>
  <si>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</si>
  <si>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</si>
  <si>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</si>
  <si>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</si>
  <si>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</si>
  <si>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</si>
  <si>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</si>
  <si>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</si>
  <si>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</si>
  <si>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</si>
  <si>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</si>
  <si>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</si>
  <si>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</si>
  <si>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</si>
  <si>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</si>
  <si>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</si>
  <si>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</si>
  <si>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</si>
  <si>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</si>
  <si>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</si>
  <si>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</si>
  <si>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</si>
  <si>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</si>
  <si>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</si>
  <si>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</si>
  <si>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</si>
  <si>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</si>
  <si>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</si>
  <si>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</si>
  <si>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</si>
  <si>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</si>
  <si>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</si>
  <si>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</si>
  <si>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</si>
  <si>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</si>
  <si>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</si>
  <si>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</si>
  <si>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</si>
  <si>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</si>
  <si>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</si>
  <si>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</si>
  <si>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</si>
  <si>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</si>
  <si>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</si>
  <si>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</si>
  <si>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</si>
  <si>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</si>
  <si>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</si>
  <si>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</si>
  <si>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</si>
  <si>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</si>
  <si>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</si>
  <si>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</si>
  <si>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</si>
  <si>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</si>
  <si>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</si>
  <si>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</si>
  <si>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</si>
  <si>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</si>
  <si>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</si>
  <si>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</si>
  <si>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</si>
  <si>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</si>
  <si>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</si>
  <si>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</si>
  <si>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</si>
  <si>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</si>
  <si>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</si>
  <si>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</si>
  <si>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</si>
  <si>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</si>
  <si>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</si>
  <si>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</si>
  <si>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</si>
  <si>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</si>
  <si>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</si>
  <si>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</si>
  <si>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</si>
  <si>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</si>
  <si>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</si>
  <si>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</si>
  <si>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</si>
  <si>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</si>
  <si>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</si>
  <si>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</si>
  <si>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</si>
  <si>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</si>
  <si>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</si>
  <si>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</si>
  <si>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</si>
  <si>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</si>
  <si>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</si>
  <si>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</si>
  <si>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</si>
  <si>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</si>
  <si>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</si>
  <si>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</si>
  <si>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</si>
  <si>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</si>
  <si>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</si>
  <si>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</si>
  <si>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</si>
  <si>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</si>
  <si>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</si>
  <si>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</si>
  <si>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</si>
  <si>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</si>
  <si>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</si>
  <si>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</si>
  <si>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</si>
  <si>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</si>
  <si>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</si>
  <si>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</si>
  <si>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</si>
  <si>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</si>
  <si>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</si>
  <si>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</si>
  <si>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</si>
  <si>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</si>
  <si>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</si>
  <si>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</si>
  <si>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</si>
  <si>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</si>
  <si>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</si>
  <si>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</si>
  <si>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</si>
  <si>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</si>
  <si>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</si>
  <si>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</si>
  <si>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</si>
  <si>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</si>
  <si>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</si>
  <si>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</si>
  <si>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</si>
  <si>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</si>
  <si>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</si>
  <si>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</si>
  <si>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</si>
  <si>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</si>
  <si>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</si>
  <si>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</si>
  <si>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</si>
  <si>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</si>
  <si>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</si>
  <si>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</si>
  <si>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</si>
  <si>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</si>
  <si>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N.S.</t>
  </si>
  <si>
    <t>NOT SEQUENCED</t>
  </si>
  <si>
    <t>1</t>
  </si>
  <si>
    <t>SEQ1</t>
  </si>
  <si>
    <t>SEQ2</t>
  </si>
  <si>
    <t>3</t>
  </si>
  <si>
    <t>SEQ3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</si>
  <si>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</si>
  <si>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</si>
  <si>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</si>
  <si>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</si>
  <si>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</si>
  <si>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</si>
  <si>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</si>
  <si>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</si>
  <si>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</si>
  <si>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</si>
  <si>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</si>
  <si>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</si>
  <si>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</si>
  <si>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</si>
  <si>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</si>
  <si>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</si>
  <si>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</si>
  <si>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</si>
  <si>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</si>
  <si>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</si>
  <si>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</si>
  <si>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</si>
  <si>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</si>
  <si>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</si>
  <si>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</si>
  <si>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</si>
  <si>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</si>
  <si>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</si>
  <si>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</si>
  <si>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</si>
  <si>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</si>
  <si>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Joists</t>
  </si>
  <si>
    <t>J1</t>
  </si>
  <si>
    <t>J2</t>
  </si>
  <si>
    <t>J3</t>
  </si>
  <si>
    <t>J4</t>
  </si>
  <si>
    <t>J5</t>
  </si>
  <si>
    <t>J6</t>
  </si>
  <si>
    <t>J7</t>
  </si>
  <si>
    <t>TJ8</t>
  </si>
  <si>
    <t>J9</t>
  </si>
  <si>
    <t>J10</t>
  </si>
  <si>
    <t>TJ11</t>
  </si>
  <si>
    <t>J12</t>
  </si>
  <si>
    <t>J13</t>
  </si>
  <si>
    <t>J14</t>
  </si>
  <si>
    <t>J15</t>
  </si>
  <si>
    <t>J16</t>
  </si>
  <si>
    <t>TJ17</t>
  </si>
  <si>
    <t>J18</t>
  </si>
  <si>
    <t>TJ19</t>
  </si>
  <si>
    <t>J20</t>
  </si>
  <si>
    <t>J21</t>
  </si>
  <si>
    <t>J22</t>
  </si>
  <si>
    <t>J23</t>
  </si>
  <si>
    <t>J24</t>
  </si>
  <si>
    <t>J25</t>
  </si>
  <si>
    <t>TJ26</t>
  </si>
  <si>
    <t>J27</t>
  </si>
  <si>
    <t>J28</t>
  </si>
  <si>
    <t>J29</t>
  </si>
  <si>
    <t>J30</t>
  </si>
  <si>
    <t>TJ31</t>
  </si>
  <si>
    <t>J32</t>
  </si>
  <si>
    <t>J33</t>
  </si>
  <si>
    <t>J34</t>
  </si>
  <si>
    <t>J35</t>
  </si>
  <si>
    <t>J36</t>
  </si>
  <si>
    <t>J37</t>
  </si>
  <si>
    <t>J38</t>
  </si>
  <si>
    <t>J39</t>
  </si>
  <si>
    <t>J40</t>
  </si>
  <si>
    <t>J41</t>
  </si>
  <si>
    <t>J42</t>
  </si>
  <si>
    <t>J43</t>
  </si>
  <si>
    <t>TJ44</t>
  </si>
  <si>
    <t>J45</t>
  </si>
  <si>
    <t>J46</t>
  </si>
  <si>
    <t>J47</t>
  </si>
  <si>
    <t>J48</t>
  </si>
  <si>
    <t>J49</t>
  </si>
  <si>
    <t>J50</t>
  </si>
  <si>
    <t>J51</t>
  </si>
  <si>
    <t>J52</t>
  </si>
  <si>
    <t>J53</t>
  </si>
  <si>
    <t>TJ54</t>
  </si>
  <si>
    <t>J55</t>
  </si>
  <si>
    <t>J56</t>
  </si>
  <si>
    <t>J57</t>
  </si>
  <si>
    <t>J58</t>
  </si>
  <si>
    <t>TJ59</t>
  </si>
  <si>
    <t>J60</t>
  </si>
  <si>
    <t>J61</t>
  </si>
  <si>
    <t>J62</t>
  </si>
  <si>
    <t>TJ63</t>
  </si>
  <si>
    <t>J64</t>
  </si>
  <si>
    <t>J65</t>
  </si>
  <si>
    <t>J66</t>
  </si>
  <si>
    <t>J67</t>
  </si>
  <si>
    <t>J68</t>
  </si>
  <si>
    <t>J69</t>
  </si>
  <si>
    <t>J70</t>
  </si>
  <si>
    <t>J71</t>
  </si>
  <si>
    <t>J72</t>
  </si>
  <si>
    <t>J73</t>
  </si>
  <si>
    <t>Bridging</t>
  </si>
  <si>
    <t>H1</t>
  </si>
  <si>
    <t>W1</t>
  </si>
  <si>
    <t>W2</t>
  </si>
  <si>
    <t>B1</t>
  </si>
  <si>
    <t>B2</t>
  </si>
  <si>
    <t>X1</t>
  </si>
  <si>
    <t>X2</t>
  </si>
  <si>
    <t>X3</t>
  </si>
  <si>
    <t>X4</t>
  </si>
  <si>
    <t>X5</t>
  </si>
  <si>
    <t>FULL STRIP</t>
  </si>
  <si>
    <t xml:space="preserve">STRIP </t>
  </si>
  <si>
    <t>TYP NU</t>
  </si>
  <si>
    <t>4</t>
  </si>
  <si>
    <t>5</t>
  </si>
  <si>
    <t>6</t>
  </si>
  <si>
    <t>7</t>
  </si>
  <si>
    <t>SNOW DRIFT</t>
  </si>
  <si>
    <t>10</t>
  </si>
  <si>
    <t>11</t>
  </si>
  <si>
    <t>12</t>
  </si>
  <si>
    <t>13</t>
  </si>
  <si>
    <t>14</t>
  </si>
  <si>
    <t>15</t>
  </si>
  <si>
    <t>16</t>
  </si>
  <si>
    <t>17</t>
  </si>
  <si>
    <t>18</t>
  </si>
  <si>
    <t>19</t>
  </si>
  <si>
    <t>20</t>
  </si>
  <si>
    <t>21</t>
  </si>
  <si>
    <t>22</t>
  </si>
  <si>
    <t>23</t>
  </si>
  <si>
    <t>SNOW DRIFT TO G</t>
  </si>
  <si>
    <t>24</t>
  </si>
  <si>
    <t>25</t>
  </si>
  <si>
    <t>TYP JOIST AXIAL</t>
  </si>
  <si>
    <t>26</t>
  </si>
  <si>
    <t>TYP RTU</t>
  </si>
  <si>
    <t>27</t>
  </si>
  <si>
    <t>MUA / RTU XFER GIRDER</t>
  </si>
  <si>
    <t>28</t>
  </si>
  <si>
    <t>MUA XFER GIRDER</t>
  </si>
  <si>
    <t>29</t>
  </si>
  <si>
    <t>WF BRACE LOADS</t>
  </si>
  <si>
    <t>30</t>
  </si>
  <si>
    <t>31</t>
  </si>
  <si>
    <t>32</t>
  </si>
  <si>
    <t>WF BRACE LOADS TO G</t>
  </si>
  <si>
    <t>33</t>
  </si>
  <si>
    <t>34</t>
  </si>
  <si>
    <t>35</t>
  </si>
  <si>
    <t>MAIN PAR J</t>
  </si>
  <si>
    <t>36</t>
  </si>
  <si>
    <t>MAIN PERP G</t>
  </si>
  <si>
    <t>37</t>
  </si>
  <si>
    <t>38</t>
  </si>
  <si>
    <t>MAIN PERP J</t>
  </si>
  <si>
    <t>39</t>
  </si>
  <si>
    <t>40</t>
  </si>
  <si>
    <t>JOIST AXIAL XFERS THRU TIE PLATE @ L.E. / THRU SEAT @ R.E.</t>
  </si>
  <si>
    <t>GIRDER AX XFERS THRU SEAT @ L.E., REDUCES TO 0.0K @ R.E.</t>
  </si>
  <si>
    <t>AT R.E. MAINTAIN 1'-1" MIN. CLEAR BEARING - SEAT TYPE R. DESIGNER TO ENSURE THAT GIRDER W2</t>
  </si>
  <si>
    <t>CLEARS 3/4X3/4 BAR WHILE WORKING POINT REMAINS MINIMUM 1/2” PAST EDGE OF BEARING @ R.E. SEE</t>
  </si>
  <si>
    <t>SECTION 2 &amp; 3/J1.0</t>
  </si>
  <si>
    <t>D</t>
  </si>
  <si>
    <t>GIRDER AXIAL XFERS THRU SEAT @ B.E. UNO</t>
  </si>
  <si>
    <t>E</t>
  </si>
  <si>
    <t>F</t>
  </si>
  <si>
    <t>6" MAIN AT FIRST/LAST PP</t>
  </si>
  <si>
    <t>6" MAIN @ 46'-6" FROM L=PTP IS 4'-0" FROM BOTTOM OF DECK</t>
  </si>
  <si>
    <t>H</t>
  </si>
  <si>
    <t>6" MAIN @46'-0" FROM L-PTP IS 4'-0" FROM BOTTOM OF DECK</t>
  </si>
  <si>
    <t>48VG9N16.3K</t>
  </si>
  <si>
    <t>#1</t>
  </si>
  <si>
    <t>#2</t>
  </si>
  <si>
    <t>#3</t>
  </si>
  <si>
    <t>#4</t>
  </si>
  <si>
    <t>#5</t>
  </si>
  <si>
    <t>#6</t>
  </si>
  <si>
    <t>#7</t>
  </si>
  <si>
    <t>52VG9N15.3K</t>
  </si>
  <si>
    <t>48VG9N13.8K</t>
  </si>
  <si>
    <t>52VG9N18.3K</t>
  </si>
  <si>
    <t>Verify girder has sufficient minimum required bearing on RIGHT ends.  Girders with a</t>
  </si>
  <si>
    <t>self-weight greater than 50 plf. require 6" minimum bearing on steel.</t>
  </si>
  <si>
    <t>Joist is bearing within 8" of the seat on the RIGHT end - Contact the Engineer of Record</t>
  </si>
  <si>
    <t>for reduced point load at this location.</t>
  </si>
  <si>
    <t>32LH305/180</t>
  </si>
  <si>
    <t>44LH305/180</t>
  </si>
  <si>
    <t>ENGINEERING REVIEW BY: EC</t>
  </si>
  <si>
    <t>INTERNATIONAL BUILDING CODE 2018</t>
  </si>
  <si>
    <t>SDS = 1.296</t>
  </si>
  <si>
    <t>LIVE LOAD DEFLECTION = L/240</t>
  </si>
  <si>
    <t>SEISMIC SEPARATION IS REQUIRED</t>
  </si>
  <si>
    <t>GIRDER L = 59%</t>
  </si>
  <si>
    <t>FINAL CALCS REQUIRED</t>
  </si>
  <si>
    <t>CAMBER PER SJI</t>
  </si>
  <si>
    <t>JOIST AXIAL XFERS THRU TIE PLATE @ BE TYP, UNO</t>
  </si>
  <si>
    <t>2" BRANCHLINES @ 8" FROM TOP OF JOIST.</t>
  </si>
  <si>
    <t>6" MAINS @ 1'-0" FROM TOP OF JOIST. TYP UNO</t>
  </si>
  <si>
    <t>1/4" MIN SEAT MATERIAL THICKNESS</t>
  </si>
  <si>
    <t>MINDEN UPS BLDG 1</t>
  </si>
  <si>
    <t>MINDEN, NV</t>
  </si>
  <si>
    <t>NN22-0071</t>
  </si>
  <si>
    <t>JMM</t>
  </si>
  <si>
    <t>NR</t>
  </si>
  <si>
    <t>C (1)</t>
  </si>
  <si>
    <t>N (1)</t>
  </si>
  <si>
    <t>L (1)</t>
  </si>
  <si>
    <t>L (2)</t>
  </si>
  <si>
    <t>L (3)</t>
  </si>
  <si>
    <t>S (1)</t>
  </si>
  <si>
    <t>S (2)</t>
  </si>
  <si>
    <t>S (3)</t>
  </si>
  <si>
    <t>S (4)</t>
  </si>
  <si>
    <t>G (1)</t>
  </si>
  <si>
    <t>[B,F](4,23,27,36)</t>
  </si>
  <si>
    <t>[D](4,28)</t>
  </si>
  <si>
    <t>[D](4)</t>
  </si>
  <si>
    <t>[B,F,G](4,27,32,37)</t>
  </si>
  <si>
    <t>[B,C,F](4,27,36)</t>
  </si>
  <si>
    <t>[F](24,27,36)</t>
  </si>
  <si>
    <t>(27)</t>
  </si>
  <si>
    <t>[F,G](27,33,37)</t>
  </si>
  <si>
    <t>[C,F](27,36)</t>
  </si>
  <si>
    <t>[F](27,33,37)</t>
  </si>
  <si>
    <t>G (2)</t>
  </si>
  <si>
    <t>[B,F](5,23,27,36)</t>
  </si>
  <si>
    <t>[D](5,28)</t>
  </si>
  <si>
    <t>[D](5)</t>
  </si>
  <si>
    <t>[B,F](5,27,34,36)</t>
  </si>
  <si>
    <t>[B,C,F](5,27,36)</t>
  </si>
  <si>
    <t>[D](4,27)</t>
  </si>
  <si>
    <t>[B,F,H](4,27,32,37)</t>
  </si>
  <si>
    <t>[B,C,F,H](4,37)</t>
  </si>
  <si>
    <t>[F,H](27,33,37)</t>
  </si>
  <si>
    <t>[C,F,H](37)</t>
  </si>
  <si>
    <t>[C,F](37)</t>
  </si>
  <si>
    <t>[D](5,27)</t>
  </si>
  <si>
    <t>[B,C,F](5,36)</t>
  </si>
  <si>
    <t>J (1)</t>
  </si>
  <si>
    <t>[A](1,6,7,35)</t>
  </si>
  <si>
    <t>[A](1,6,8)</t>
  </si>
  <si>
    <t>[A](1,9,25)</t>
  </si>
  <si>
    <t>[A](1,10,25)</t>
  </si>
  <si>
    <t>[A](2,11,25,26)</t>
  </si>
  <si>
    <t>[A](2,12,25,26)</t>
  </si>
  <si>
    <t>[A](2,12,25)</t>
  </si>
  <si>
    <t>[A](2,21,25)</t>
  </si>
  <si>
    <t>[A](2,21,25,27)</t>
  </si>
  <si>
    <t>[A](2,21,25,26)</t>
  </si>
  <si>
    <t>[A](2,21,25,26,38)</t>
  </si>
  <si>
    <t>[A](2,21,25,35,38)</t>
  </si>
  <si>
    <t>[A](2,21,25,29,35,38)</t>
  </si>
  <si>
    <t>[A](2,6,12,35)</t>
  </si>
  <si>
    <t>J (2)</t>
  </si>
  <si>
    <t>[A](2,12,25,27)</t>
  </si>
  <si>
    <t>(1,6,13,35)</t>
  </si>
  <si>
    <t>(1,6,14)</t>
  </si>
  <si>
    <t>(1,15,25)</t>
  </si>
  <si>
    <t>(1,16,25)</t>
  </si>
  <si>
    <t>(3,17,25)</t>
  </si>
  <si>
    <t>(3,25)</t>
  </si>
  <si>
    <t>(3,25,35)</t>
  </si>
  <si>
    <t>(3,25,29,35)</t>
  </si>
  <si>
    <t>(3,6,35)</t>
  </si>
  <si>
    <t>(3,25,26)</t>
  </si>
  <si>
    <t>(3,25,27)</t>
  </si>
  <si>
    <t>(1,6,18,35)</t>
  </si>
  <si>
    <t>(1,6,19)</t>
  </si>
  <si>
    <t>(1,20,25)</t>
  </si>
  <si>
    <t>(1,25)</t>
  </si>
  <si>
    <t>(3,25,26,35,39)</t>
  </si>
  <si>
    <t>(3,25,30,35,39)</t>
  </si>
  <si>
    <t>J (3)</t>
  </si>
  <si>
    <t>[A](2,21,25,31,35)</t>
  </si>
  <si>
    <t>[A](2,6,21,35)</t>
  </si>
  <si>
    <t>[A](2,22,25)</t>
  </si>
  <si>
    <t>[A](2,22,25,27)</t>
  </si>
  <si>
    <t>[A](2,12,25,40)</t>
  </si>
  <si>
    <t>[A](2,12,25,26,40)</t>
  </si>
  <si>
    <t>[A](2,12,25,35,40)</t>
  </si>
  <si>
    <t>[A](2,12,25,29,35,40)</t>
  </si>
  <si>
    <t>J (4)</t>
  </si>
  <si>
    <t>[A](2,6,21,35,40)</t>
  </si>
  <si>
    <t>[A](2,21,25,35)</t>
  </si>
  <si>
    <t>[A](2,11,25)</t>
  </si>
  <si>
    <t>(3,6,35,39)</t>
  </si>
  <si>
    <t>(3,25,35,39)</t>
  </si>
  <si>
    <t>[A](2,22,25,26)</t>
  </si>
  <si>
    <t>B (1)</t>
  </si>
  <si>
    <t>P (1)</t>
  </si>
  <si>
    <t xml:space="preserve">2" BRANCH LINES @ 5'-0", 15'-0", 25'-0", 35'-0", 45'-0", 55'-0" &amp; 65'-0" FROM L-PTP, TYP U.N.O.	</t>
  </si>
  <si>
    <t>SPECIAL</t>
  </si>
  <si>
    <t>LOAD</t>
  </si>
  <si>
    <t>OHA1</t>
  </si>
  <si>
    <t>OHA2</t>
  </si>
  <si>
    <t>OHP1</t>
  </si>
  <si>
    <t>OHP2</t>
  </si>
  <si>
    <t>13/16" DIA. HOLES IN GIRDER SEAT @ R.E. (NOT SLOTS)</t>
  </si>
  <si>
    <t>[A](1,6,7,35, SJ1)</t>
  </si>
  <si>
    <t>[A](1,6,8, SJ2)</t>
  </si>
  <si>
    <t>[A](1,9,25, SJ3)</t>
  </si>
  <si>
    <t>[A](1,10,25, SJ4)</t>
  </si>
  <si>
    <t>[A](2,11,25,26, SJ5)</t>
  </si>
  <si>
    <t>[A](2,12,25,26, SJ6)</t>
  </si>
  <si>
    <t>[A](2,12,25, SJ7)</t>
  </si>
  <si>
    <t>[A](2,12,25, STJ8)</t>
  </si>
  <si>
    <t>[A](2,21,25, SJ9)</t>
  </si>
  <si>
    <t>[A](2,21,25,27, SJ10)</t>
  </si>
  <si>
    <t>[A](2,21,25, STJ11)</t>
  </si>
  <si>
    <t>[A](2,21,25,26, SJ12)</t>
  </si>
  <si>
    <t>[A](2,21,25,26,38, SJ13)</t>
  </si>
  <si>
    <t>[A](2,21,25,35,38, SJ14)</t>
  </si>
  <si>
    <t>[A](2,21,25,29,35,38, SJ15)</t>
  </si>
  <si>
    <t>[A](2,6,12,35, SJ16)</t>
  </si>
  <si>
    <t>[A](2,12,25, STJ17)</t>
  </si>
  <si>
    <t>[A](2,12,25,27, SJ18)</t>
  </si>
  <si>
    <t>[A](2,12,25,26, STJ19)</t>
  </si>
  <si>
    <t>(1,6,13,35, SJ20)</t>
  </si>
  <si>
    <t>(1,6,14, SJ21)</t>
  </si>
  <si>
    <t>(1,15,25, SJ22)</t>
  </si>
  <si>
    <t>(1,16,25, SJ23)</t>
  </si>
  <si>
    <t>(3,17,25, SJ24)</t>
  </si>
  <si>
    <t>(3,25, SJ25)</t>
  </si>
  <si>
    <t>(3,25, STJ26)</t>
  </si>
  <si>
    <t>(3,25,35, SJ27)</t>
  </si>
  <si>
    <t>(3,25,29,35, SJ28)</t>
  </si>
  <si>
    <t>(3,6,35, SJ29)</t>
  </si>
  <si>
    <t>(3,25,26, SJ30)</t>
  </si>
  <si>
    <t>(3,25,26, STJ31)</t>
  </si>
  <si>
    <t>(3,25,27, SJ32)</t>
  </si>
  <si>
    <t>(1,6,18,35, SJ33)</t>
  </si>
  <si>
    <t>(1,6,19, SJ34)</t>
  </si>
  <si>
    <t>(1,20,25, SJ35)</t>
  </si>
  <si>
    <t>(1,25, SJ36)</t>
  </si>
  <si>
    <t>(3,25,26,35,39, SJ37)</t>
  </si>
  <si>
    <t>(3,25,30,35,39, SJ38)</t>
  </si>
  <si>
    <t>(1,6,18,35, SJ39)</t>
  </si>
  <si>
    <t>(1,6,19, SJ40)</t>
  </si>
  <si>
    <t>(1,20,25, SJ41)</t>
  </si>
  <si>
    <t>(1,25, SJ42)</t>
  </si>
  <si>
    <t>(3,25, SJ43)</t>
  </si>
  <si>
    <t>(3,25, STJ44)</t>
  </si>
  <si>
    <t>(3,25,29,35, SJ45)</t>
  </si>
  <si>
    <t>(3,6,35, SJ46)</t>
  </si>
  <si>
    <t>[A](1,6,7,35, SJ47)</t>
  </si>
  <si>
    <t>[A](1,6,8, SJ48)</t>
  </si>
  <si>
    <t>[A](1,9,25, SJ49)</t>
  </si>
  <si>
    <t>[A](1,10,25, SJ50)</t>
  </si>
  <si>
    <t>[A](2,11,25,26, SJ51)</t>
  </si>
  <si>
    <t>[A](2,12,25,26, SJ52)</t>
  </si>
  <si>
    <t>[A](2,21,25, SJ53)</t>
  </si>
  <si>
    <t>[A](2,21,25, STJ54)</t>
  </si>
  <si>
    <t>[A](2,21,25,27, SJ55)</t>
  </si>
  <si>
    <t>[A](2,21,25,26, SJ56)</t>
  </si>
  <si>
    <t>[A](2,21,25,31,35, SJ57)</t>
  </si>
  <si>
    <t>[A](2,6,21,35, SJ58)</t>
  </si>
  <si>
    <t>[A](2,22,25, STJ59)</t>
  </si>
  <si>
    <t>[A](2,22,25, SJ60)</t>
  </si>
  <si>
    <t>[A](2,22,25,27, SJ61)</t>
  </si>
  <si>
    <t>[A](2,12,25,40, SJ62)</t>
  </si>
  <si>
    <t>[A](2,12,25,40, STJ63)</t>
  </si>
  <si>
    <t>[A](2,12,25,26,40, SJ64)</t>
  </si>
  <si>
    <t>[A](2,12,25,35,40, SJ65)</t>
  </si>
  <si>
    <t>[A](2,12,25,29,35,40, SJ66)</t>
  </si>
  <si>
    <t>[A](2,6,21,35,40, SJ67)</t>
  </si>
  <si>
    <t>[A](2,21,25,35, SJ68)</t>
  </si>
  <si>
    <t>[A](2,11,25, SJ69)</t>
  </si>
  <si>
    <t>(3,6,35,39, SJ70)</t>
  </si>
  <si>
    <t>(3,25,35,39, SJ71)</t>
  </si>
  <si>
    <t>[A](2,22,25,26, SJ72)</t>
  </si>
  <si>
    <t>[A](2,11,25, SJ73)</t>
  </si>
  <si>
    <t>48VG9N16.3/9.7K</t>
  </si>
  <si>
    <t>52VG9N15.3/9.1K</t>
  </si>
  <si>
    <t>48VG9N13.8/8.2K</t>
  </si>
  <si>
    <t>[B,F](4,23,27,36, SG1)</t>
  </si>
  <si>
    <t>[D](4,28, SG2)</t>
  </si>
  <si>
    <t>[D](4, SG3)</t>
  </si>
  <si>
    <t>[B,F,G](4,27,32,37, SG4)</t>
  </si>
  <si>
    <t>[B,C,E,F](4,27,36, SG5)</t>
  </si>
  <si>
    <t>[D](4, SG6)</t>
  </si>
  <si>
    <t>[F](24,27,36, SG7)</t>
  </si>
  <si>
    <t>[F,G](27,33,37, SG9)</t>
  </si>
  <si>
    <t>[C,E,F](27,36, SG10)</t>
  </si>
  <si>
    <t>[F](24,27,36, SG12)</t>
  </si>
  <si>
    <t>[F](27,33,37, SG14)</t>
  </si>
  <si>
    <t>[C,E,F](27,36, SG15)</t>
  </si>
  <si>
    <t>52VG9N18.3/10.8K</t>
  </si>
  <si>
    <t>[B,F](5,23,27,36, SG17)</t>
  </si>
  <si>
    <t>[D](5,28, SG18)</t>
  </si>
  <si>
    <t>[D](5, SG19)</t>
  </si>
  <si>
    <t>[B,F](5,27,34,36, SG20)</t>
  </si>
  <si>
    <t>[B,C,E,F](5,27,36, SG21)</t>
  </si>
  <si>
    <t>[D](4,27, SG22)</t>
  </si>
  <si>
    <t>[B,F,H](4,27,32,37, SG23)</t>
  </si>
  <si>
    <t>[B,C,E,F,H](4,37, SG24)</t>
  </si>
  <si>
    <t>[F,H](27,33,37, SG25)</t>
  </si>
  <si>
    <t>[C,E,F,H](37, SG26)</t>
  </si>
  <si>
    <t>[C,E,F](37, SG27)</t>
  </si>
  <si>
    <t>[D](5,27, SG28)</t>
  </si>
  <si>
    <t>[B,C,E,F](5,36, SG29)</t>
  </si>
  <si>
    <t>SJ1</t>
  </si>
  <si>
    <t>SJ2</t>
  </si>
  <si>
    <t>SJ3</t>
  </si>
  <si>
    <t>SJ4</t>
  </si>
  <si>
    <t>SJ5</t>
  </si>
  <si>
    <t>SJ6</t>
  </si>
  <si>
    <t>SJ7</t>
  </si>
  <si>
    <t>STJ8</t>
  </si>
  <si>
    <t>SJ9</t>
  </si>
  <si>
    <t>SJ10</t>
  </si>
  <si>
    <t>STJ11</t>
  </si>
  <si>
    <t>SJ12</t>
  </si>
  <si>
    <t>SJ13</t>
  </si>
  <si>
    <t>SJ14</t>
  </si>
  <si>
    <t>SJ15</t>
  </si>
  <si>
    <t>SJ16</t>
  </si>
  <si>
    <t>STJ17</t>
  </si>
  <si>
    <t>SJ18</t>
  </si>
  <si>
    <t>STJ19</t>
  </si>
  <si>
    <t>SJ20</t>
  </si>
  <si>
    <t>SJ21</t>
  </si>
  <si>
    <t>SJ22</t>
  </si>
  <si>
    <t>SJ23</t>
  </si>
  <si>
    <t>SJ24</t>
  </si>
  <si>
    <t>SJ25</t>
  </si>
  <si>
    <t>STJ26</t>
  </si>
  <si>
    <t>SJ27</t>
  </si>
  <si>
    <t>SJ28</t>
  </si>
  <si>
    <t>SJ29</t>
  </si>
  <si>
    <t>SJ30</t>
  </si>
  <si>
    <t>STJ31</t>
  </si>
  <si>
    <t>SJ32</t>
  </si>
  <si>
    <t>SJ33</t>
  </si>
  <si>
    <t>SJ34</t>
  </si>
  <si>
    <t>SJ35</t>
  </si>
  <si>
    <t>SJ36</t>
  </si>
  <si>
    <t>SJ37</t>
  </si>
  <si>
    <t>SJ38</t>
  </si>
  <si>
    <t>SJ39</t>
  </si>
  <si>
    <t>SJ40</t>
  </si>
  <si>
    <t>SJ41</t>
  </si>
  <si>
    <t>SJ42</t>
  </si>
  <si>
    <t>SJ43</t>
  </si>
  <si>
    <t>STJ44</t>
  </si>
  <si>
    <t>SJ45</t>
  </si>
  <si>
    <t>SJ46</t>
  </si>
  <si>
    <t>SJ47</t>
  </si>
  <si>
    <t>SJ48</t>
  </si>
  <si>
    <t>SJ49</t>
  </si>
  <si>
    <t>SJ50</t>
  </si>
  <si>
    <t>SJ51</t>
  </si>
  <si>
    <t>SJ52</t>
  </si>
  <si>
    <t>SJ53</t>
  </si>
  <si>
    <t>STJ54</t>
  </si>
  <si>
    <t>SJ55</t>
  </si>
  <si>
    <t>SJ56</t>
  </si>
  <si>
    <t>SJ57</t>
  </si>
  <si>
    <t>SJ58</t>
  </si>
  <si>
    <t>STJ59</t>
  </si>
  <si>
    <t>SJ60</t>
  </si>
  <si>
    <t>SJ61</t>
  </si>
  <si>
    <t>SJ62</t>
  </si>
  <si>
    <t>STJ63</t>
  </si>
  <si>
    <t>SJ64</t>
  </si>
  <si>
    <t>SJ65</t>
  </si>
  <si>
    <t>SJ66</t>
  </si>
  <si>
    <t>SJ67</t>
  </si>
  <si>
    <t>SJ68</t>
  </si>
  <si>
    <t>SJ69</t>
  </si>
  <si>
    <t>SJ70</t>
  </si>
  <si>
    <t>SJ71</t>
  </si>
  <si>
    <t>SJ72</t>
  </si>
  <si>
    <t>SJ73</t>
  </si>
  <si>
    <t>SG1</t>
  </si>
  <si>
    <t>SG2</t>
  </si>
  <si>
    <t>SG3</t>
  </si>
  <si>
    <t>SG4</t>
  </si>
  <si>
    <t>SG5</t>
  </si>
  <si>
    <t>SG6</t>
  </si>
  <si>
    <t>SG7</t>
  </si>
  <si>
    <t>SG9</t>
  </si>
  <si>
    <t>SG10</t>
  </si>
  <si>
    <t>SG12</t>
  </si>
  <si>
    <t>SG14</t>
  </si>
  <si>
    <t>SG15</t>
  </si>
  <si>
    <t>SG17</t>
  </si>
  <si>
    <t>SG18</t>
  </si>
  <si>
    <t>SG19</t>
  </si>
  <si>
    <t>SG20</t>
  </si>
  <si>
    <t>SG21</t>
  </si>
  <si>
    <t>SG22</t>
  </si>
  <si>
    <t>SG23</t>
  </si>
  <si>
    <t>SG24</t>
  </si>
  <si>
    <t>SG25</t>
  </si>
  <si>
    <t>SG26</t>
  </si>
  <si>
    <t>SG27</t>
  </si>
  <si>
    <t>SG28</t>
  </si>
  <si>
    <t>SG29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</si>
</sst>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67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312" xfId="0" applyNumberFormat="1" applyFont="1" applyBorder="1" applyAlignment="1" applyProtection="1">
      <alignment horizontal="left"/>
      <protection locked="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9" xfId="0" applyFont="1" applyBorder="1" applyAlignment="1">
      <alignment horizontal="center"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15" fillId="0" borderId="68" xfId="0" applyFont="1" applyBorder="1" applyAlignment="1">
      <alignment horizontal="center"/>
    </xf>
    <xf numFmtId="0" fontId="0" fillId="0" borderId="31" xfId="0" applyBorder="1" applyAlignment="1">
      <alignment horizont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15" fillId="0" borderId="326" xfId="0" applyFont="1" applyBorder="1" applyAlignment="1">
      <alignment horizontal="center" vertical="center"/>
    </xf>
    <xf numFmtId="0" fontId="48" fillId="2" borderId="31" xfId="0" applyFont="1" applyFill="1" applyBorder="1" applyAlignment="1">
      <alignment horizontal="center"/>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72" fillId="0" borderId="82" xfId="0" applyFont="1" applyBorder="1" applyAlignment="1">
      <alignment horizontal="center" vertical="center"/>
    </xf>
    <xf numFmtId="0" fontId="72" fillId="0" borderId="331"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327" xfId="0" applyFont="1" applyBorder="1" applyAlignment="1">
      <alignment horizontal="center" vertical="center"/>
    </xf>
    <xf numFmtId="0" fontId="72" fillId="0" borderId="326" xfId="0" applyFont="1" applyBorder="1" applyAlignment="1">
      <alignment horizontal="center" vertical="center"/>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5" xfId="0" applyFont="1" applyBorder="1" applyAlignment="1">
      <alignment horizontal="center" vertical="center"/>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7" fillId="0" borderId="253"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331" xfId="0" applyFont="1" applyBorder="1" applyAlignment="1">
      <alignment horizontal="center" vertical="center" wrapText="1"/>
    </xf>
    <xf numFmtId="0" fontId="72" fillId="0" borderId="12" xfId="0" applyFont="1" applyBorder="1" applyAlignment="1">
      <alignment horizontal="center" vertical="center" wrapText="1"/>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80" xfId="0" applyFont="1" applyBorder="1" applyAlignment="1">
      <alignment horizontal="center" vertical="center"/>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15" fillId="8" borderId="280" xfId="0" applyFont="1" applyFill="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0" fillId="0" borderId="0" xfId="0"/>
    <xf numFmtId="0" fontId="4"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84" fillId="2" borderId="281"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 fillId="22" borderId="371" xfId="0" applyFont="1" applyFill="1" applyBorder="1" applyAlignment="1" applyProtection="1">
      <alignment horizont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15" fillId="8" borderId="233" xfId="0" applyFont="1" applyFill="1" applyBorder="1" applyAlignment="1" applyProtection="1">
      <alignment horizontal="center" vertical="center" wrapText="1"/>
      <protection hidden="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3" fontId="122" fillId="0" borderId="16" xfId="0" applyNumberFormat="1" applyFont="1" applyBorder="1" applyAlignment="1">
      <alignment horizontal="center"/>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3" fillId="0" borderId="206" xfId="0" applyFont="1" applyBorder="1" applyAlignment="1">
      <alignment horizontal="center"/>
    </xf>
    <xf numFmtId="0" fontId="72" fillId="0" borderId="332" xfId="0" applyFont="1" applyBorder="1" applyAlignment="1">
      <alignment horizontal="center" vertical="center"/>
    </xf>
    <xf numFmtId="0" fontId="72" fillId="0" borderId="330" xfId="0" applyFont="1" applyBorder="1" applyAlignment="1">
      <alignment horizontal="center" vertical="center"/>
    </xf>
    <xf numFmtId="0" fontId="142" fillId="0" borderId="249" xfId="0" applyFont="1" applyBorder="1" applyAlignment="1">
      <alignment horizontal="center" vertical="center"/>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0" fontId="15" fillId="0" borderId="0" xfId="0" applyFont="1" applyAlignment="1">
      <alignment horizontal="left"/>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48" fillId="0" borderId="16" xfId="0" applyFont="1" applyBorder="1"/>
    <xf numFmtId="0" fontId="73" fillId="0" borderId="0" xfId="0" applyFont="1" applyAlignment="1">
      <alignment horizontal="right"/>
    </xf>
    <xf numFmtId="49" fontId="15" fillId="0" borderId="0" xfId="0" applyNumberFormat="1" applyFont="1" applyAlignment="1">
      <alignment horizontal="left" indent="3"/>
    </xf>
    <xf numFmtId="0" fontId="15" fillId="0" borderId="0" xfId="0" applyFont="1" applyAlignment="1">
      <alignment horizontal="left" indent="3"/>
    </xf>
    <xf numFmtId="0" fontId="123" fillId="0" borderId="0" xfId="0" applyFont="1" applyAlignment="1" applyProtection="1">
      <alignment horizontal="left"/>
      <protection locked="0"/>
    </xf>
    <xf numFmtId="0" fontId="0" fillId="0" borderId="0" xfId="0" applyProtection="1">
      <protection locked="0"/>
    </xf>
    <xf numFmtId="0" fontId="71" fillId="0" borderId="0" xfId="0" applyFont="1" applyAlignment="1">
      <alignment horizontal="left"/>
    </xf>
    <xf numFmtId="0" fontId="72" fillId="0" borderId="312" xfId="0" applyFont="1" applyBorder="1" applyAlignment="1">
      <alignment horizontal="center" vertical="center"/>
    </xf>
    <xf numFmtId="0" fontId="72" fillId="0" borderId="333" xfId="0" applyFont="1" applyBorder="1" applyAlignment="1">
      <alignment horizontal="center" vertical="center"/>
    </xf>
    <xf numFmtId="0" fontId="72" fillId="0" borderId="336" xfId="0" applyFont="1" applyBorder="1" applyAlignment="1">
      <alignment horizontal="center" vertical="center"/>
    </xf>
    <xf numFmtId="0" fontId="73" fillId="0" borderId="12" xfId="0" applyFont="1" applyBorder="1" applyAlignment="1">
      <alignment horizontal="right" vertical="top"/>
    </xf>
    <xf numFmtId="0" fontId="73" fillId="0" borderId="0" xfId="0" applyFont="1"/>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85" fillId="2" borderId="57" xfId="0" applyFont="1" applyFill="1" applyBorder="1" applyAlignment="1" applyProtection="1">
      <alignment horizontal="center"/>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Protection="1">
      <protection hidden="1"/>
    </xf>
    <xf numFmtId="0" fontId="0" fillId="0" borderId="119" xfId="0" applyBorder="1"/>
    <xf numFmtId="0" fontId="0" fillId="0" borderId="51" xfId="0" applyBorder="1"/>
    <xf numFmtId="0" fontId="6" fillId="5" borderId="52" xfId="0" applyFont="1" applyFill="1" applyBorder="1" applyProtection="1">
      <protection hidden="1"/>
    </xf>
    <xf numFmtId="0" fontId="6" fillId="5" borderId="0" xfId="0" applyFont="1" applyFill="1" applyProtection="1">
      <protection hidden="1"/>
    </xf>
    <xf numFmtId="0" fontId="0" fillId="0" borderId="53" xfId="0" applyBorder="1"/>
    <xf numFmtId="0" fontId="28" fillId="0" borderId="258"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15" fillId="0" borderId="226" xfId="0" applyFont="1" applyBorder="1" applyAlignment="1" applyProtection="1">
      <alignment horizontal="center" vertical="center" wrapText="1"/>
      <protection hidden="1"/>
    </xf>
    <xf numFmtId="0" fontId="0" fillId="0" borderId="99"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7" fillId="0" borderId="52" xfId="0" applyFont="1" applyBorder="1" applyProtection="1">
      <protection hidden="1"/>
    </xf>
    <xf numFmtId="0" fontId="7" fillId="0" borderId="0" xfId="0" applyFont="1" applyProtection="1">
      <protection hidden="1"/>
    </xf>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0" fillId="0" borderId="382" xfId="0" applyBorder="1" applyAlignment="1">
      <alignment horizontal="center" wrapText="1"/>
    </xf>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8" fillId="0" borderId="16" xfId="0" applyFont="1" applyBorder="1" applyAlignment="1">
      <alignment horizontal="left"/>
    </xf>
    <xf numFmtId="0" fontId="73" fillId="0" borderId="12" xfId="0" applyFont="1" applyBorder="1"/>
    <xf numFmtId="0" fontId="73" fillId="0" borderId="11" xfId="0" applyFont="1" applyBorder="1"/>
    <xf numFmtId="0" fontId="28" fillId="0" borderId="0" xfId="0" applyFont="1"/>
    <xf numFmtId="0" fontId="46" fillId="0" borderId="213" xfId="0" applyFont="1" applyBorder="1" applyAlignment="1">
      <alignment horizontal="center"/>
    </xf>
    <xf numFmtId="0" fontId="46" fillId="0" borderId="214" xfId="0" applyFont="1" applyBorder="1" applyAlignment="1">
      <alignment horizontal="center"/>
    </xf>
    <xf numFmtId="0" fontId="104" fillId="5" borderId="50" xfId="0" applyFont="1" applyFill="1" applyBorder="1" applyAlignment="1" applyProtection="1">
      <alignment horizontal="center" vertical="center"/>
      <protection hidden="1"/>
    </xf>
    <xf numFmtId="0" fontId="0" fillId="0" borderId="131" xfId="0" applyBorder="1"/>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0" fillId="0" borderId="230" xfId="0" applyBorder="1" applyAlignment="1">
      <alignment horizontal="center" wrapText="1"/>
    </xf>
    <xf numFmtId="0" fontId="0" fillId="2" borderId="236" xfId="0" applyFill="1" applyBorder="1" applyAlignment="1" applyProtection="1">
      <alignment horizontal="center" wrapText="1"/>
      <protection hidden="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236" xfId="0" applyBorder="1" applyAlignment="1">
      <alignment horizontal="center" wrapText="1"/>
    </xf>
    <xf numFmtId="0" fontId="0" fillId="0" borderId="381"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47" fillId="0" borderId="102" xfId="0" applyFont="1" applyBorder="1" applyAlignment="1" applyProtection="1">
      <alignment horizontal="center" vertical="center" wrapText="1"/>
      <protection hidden="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48" fillId="0" borderId="359"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15" fillId="0" borderId="0" xfId="0" applyFont="1" applyAlignment="1">
      <alignment horizontal="left" indent="3" shrinkToFit="1"/>
    </xf>
    <xf numFmtId="0" fontId="72" fillId="0" borderId="123" xfId="0" applyFont="1" applyBorder="1" applyAlignment="1">
      <alignment horizontal="center" vertical="center" wrapText="1"/>
    </xf>
    <xf numFmtId="0" fontId="72" fillId="0" borderId="329" xfId="0" applyFont="1" applyBorder="1" applyAlignment="1">
      <alignment horizontal="center" vertical="center" wrapText="1"/>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81"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135" fillId="15" borderId="0" xfId="0" applyFont="1" applyFill="1" applyAlignment="1">
      <alignment horizontal="center"/>
    </xf>
    <xf numFmtId="0" fontId="28" fillId="2" borderId="217"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28" fillId="14" borderId="131" xfId="0" applyFont="1" applyFill="1" applyBorder="1"/>
    <xf numFmtId="0" fontId="0" fillId="14" borderId="132" xfId="0" applyFill="1" applyBorder="1"/>
    <xf numFmtId="0" fontId="48" fillId="2" borderId="68" xfId="0" applyFont="1" applyFill="1" applyBorder="1" applyAlignment="1">
      <alignment horizontal="center"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xf>
    <xf numFmtId="0" fontId="67" fillId="0" borderId="16" xfId="0" applyFont="1" applyBorder="1"/>
    <xf numFmtId="0" fontId="6" fillId="0" borderId="0" xfId="0" applyFont="1" applyAlignment="1">
      <alignment horizontal="left" indent="1"/>
    </xf>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55" xfId="0" applyFont="1" applyBorder="1" applyAlignment="1">
      <alignment horizontal="center" vertical="center" wrapText="1"/>
    </xf>
    <xf numFmtId="0" fontId="72" fillId="0" borderId="294" xfId="0" applyFont="1" applyBorder="1" applyAlignment="1">
      <alignment horizontal="center" vertical="center"/>
    </xf>
    <xf numFmtId="0" fontId="72" fillId="0" borderId="254" xfId="0" applyFont="1" applyBorder="1" applyAlignment="1">
      <alignment horizontal="center" vertical="center"/>
    </xf>
    <xf numFmtId="0" fontId="72" fillId="0" borderId="295" xfId="0" applyFont="1" applyBorder="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center"/>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34" fillId="0" borderId="204" xfId="0" applyFont="1" applyBorder="1" applyAlignment="1">
      <alignment horizontal="center"/>
    </xf>
    <xf numFmtId="0" fontId="34" fillId="0" borderId="205" xfId="0" applyFont="1" applyBorder="1" applyAlignment="1">
      <alignment horizontal="center"/>
    </xf>
    <xf numFmtId="0" fontId="14" fillId="0" borderId="11" xfId="0" applyFont="1" applyBorder="1" applyAlignment="1">
      <alignment horizontal="right" vertical="top"/>
    </xf>
    <xf numFmtId="0" fontId="26" fillId="0" borderId="10" xfId="0" applyFont="1" applyBorder="1"/>
    <xf numFmtId="0" fontId="26" fillId="0" borderId="22" xfId="0" applyFont="1" applyBorder="1"/>
    <xf numFmtId="0" fontId="23" fillId="0" borderId="10" xfId="0" applyFont="1" applyBorder="1" applyAlignment="1">
      <alignment horizontal="left"/>
    </xf>
    <xf numFmtId="0" fontId="9" fillId="0" borderId="0" xfId="0" applyFont="1"/>
    <xf numFmtId="0" fontId="39" fillId="0" borderId="10" xfId="0" applyFont="1" applyBorder="1"/>
    <xf numFmtId="0" fontId="33" fillId="0" borderId="16" xfId="0" applyFont="1" applyBorder="1" applyAlignment="1" applyProtection="1">
      <alignment horizontal="left"/>
      <protection locked="0"/>
    </xf>
    <xf numFmtId="0" fontId="0" fillId="0" borderId="16" xfId="0" applyBorder="1" applyProtection="1">
      <protection locked="0"/>
    </xf>
    <xf numFmtId="174" fontId="23" fillId="0" borderId="10"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10" xfId="0" applyFont="1" applyBorder="1"/>
    <xf numFmtId="0" fontId="108" fillId="0" borderId="22" xfId="0" applyFont="1" applyBorder="1"/>
    <xf numFmtId="0" fontId="73" fillId="0" borderId="10" xfId="0" applyFont="1" applyBorder="1"/>
    <xf numFmtId="0" fontId="34" fillId="0" borderId="12" xfId="0" applyFont="1" applyBorder="1" applyAlignment="1">
      <alignment horizontal="center"/>
    </xf>
    <xf numFmtId="0" fontId="34" fillId="0" borderId="0" xfId="0" applyFont="1" applyAlignment="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Border="1" applyAlignment="1">
      <alignment horizontal="left"/>
    </xf>
    <xf numFmtId="0" fontId="108" fillId="0" borderId="10" xfId="0" applyFont="1" applyBorder="1" applyAlignment="1">
      <alignment horizontal="left"/>
    </xf>
    <xf numFmtId="0" fontId="7" fillId="0" borderId="12" xfId="0" applyFont="1" applyBorder="1" applyAlignment="1">
      <alignment horizontal="center"/>
    </xf>
    <xf numFmtId="1" fontId="34" fillId="0" borderId="68" xfId="0" applyNumberFormat="1" applyFont="1" applyBorder="1" applyAlignment="1">
      <alignment horizontal="center"/>
    </xf>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28" fillId="5" borderId="296" xfId="0" applyFont="1" applyFill="1" applyBorder="1" applyAlignment="1">
      <alignment horizontal="right"/>
    </xf>
    <xf numFmtId="0" fontId="28" fillId="5" borderId="84" xfId="0" applyFont="1" applyFill="1" applyBorder="1" applyAlignment="1">
      <alignment horizontal="right"/>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2" fillId="4" borderId="117" xfId="0" applyFont="1" applyFill="1" applyBorder="1" applyAlignment="1">
      <alignment horizontal="left" indent="1"/>
    </xf>
    <xf numFmtId="0" fontId="0" fillId="0" borderId="90" xfId="0" applyBorder="1" applyAlignment="1">
      <alignment horizontal="left" indent="1"/>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132" fillId="0" borderId="8" xfId="0" applyFont="1" applyBorder="1" applyAlignment="1" applyProtection="1">
      <alignment horizontal="center" vertical="center"/>
      <protection locked="0"/>
    </xf>
    <xf numFmtId="0" fontId="132" fillId="0" borderId="12" xfId="0" applyFont="1" applyBorder="1" applyAlignment="1" applyProtection="1">
      <alignment horizontal="center" vertical="center"/>
      <protection locked="0"/>
    </xf>
    <xf numFmtId="188" fontId="132" fillId="0" borderId="11" xfId="0" applyNumberFormat="1" applyFont="1" applyBorder="1" applyAlignment="1" applyProtection="1">
      <alignment horizontal="right" vertical="center"/>
      <protection locked="0"/>
    </xf>
    <xf numFmtId="170" fontId="132" fillId="0" borderId="22" xfId="0" applyNumberFormat="1" applyFont="1" applyBorder="1" applyAlignment="1" applyProtection="1">
      <alignment horizontal="left" vertical="center"/>
      <protection locked="0"/>
    </xf>
    <xf numFmtId="165" fontId="132" fillId="0" borderId="12" xfId="0" applyNumberFormat="1" applyFont="1" applyBorder="1" applyAlignment="1" applyProtection="1">
      <alignment horizontal="center" vertical="center"/>
      <protection locked="0"/>
    </xf>
    <xf numFmtId="171" fontId="132" fillId="0" borderId="12" xfId="0" applyNumberFormat="1" applyFont="1" applyBorder="1" applyAlignment="1" applyProtection="1">
      <alignment horizontal="center" vertical="center"/>
      <protection locked="0"/>
    </xf>
    <xf numFmtId="1" fontId="132" fillId="0" borderId="21" xfId="0" applyNumberFormat="1" applyFont="1" applyBorder="1" applyAlignment="1" applyProtection="1">
      <alignment horizontal="center" vertical="center"/>
      <protection locked="0"/>
    </xf>
    <xf numFmtId="0" fontId="132" fillId="0" borderId="9" xfId="0" applyFont="1" applyBorder="1" applyAlignment="1" applyProtection="1">
      <alignment horizontal="center" vertical="center"/>
      <protection locked="0"/>
    </xf>
    <xf numFmtId="0" fontId="132" fillId="0" borderId="25" xfId="0" applyFont="1" applyBorder="1" applyAlignment="1" applyProtection="1">
      <alignment horizontal="center" vertical="center"/>
      <protection locked="0"/>
    </xf>
    <xf numFmtId="188" fontId="132" fillId="0" borderId="117" xfId="0" applyNumberFormat="1" applyFont="1" applyBorder="1" applyAlignment="1" applyProtection="1">
      <alignment horizontal="right" vertical="center"/>
      <protection locked="0"/>
    </xf>
    <xf numFmtId="170" fontId="132" fillId="0" borderId="143" xfId="0" applyNumberFormat="1" applyFont="1" applyBorder="1" applyAlignment="1" applyProtection="1">
      <alignment horizontal="left" vertical="center"/>
      <protection locked="0"/>
    </xf>
    <xf numFmtId="165" fontId="132" fillId="0" borderId="25" xfId="0" applyNumberFormat="1" applyFont="1" applyBorder="1" applyAlignment="1" applyProtection="1">
      <alignment horizontal="center" vertical="center"/>
      <protection locked="0"/>
    </xf>
    <xf numFmtId="171" fontId="132" fillId="0" borderId="25" xfId="0" applyNumberFormat="1" applyFont="1" applyBorder="1" applyAlignment="1" applyProtection="1">
      <alignment horizontal="center" vertical="center"/>
      <protection locked="0"/>
    </xf>
    <xf numFmtId="1" fontId="132" fillId="0" borderId="26" xfId="0" applyNumberFormat="1" applyFont="1" applyBorder="1" applyAlignment="1" applyProtection="1">
      <alignment horizontal="center" vertical="center"/>
      <protection locked="0"/>
    </xf>
    <xf numFmtId="49" fontId="124" fillId="26" borderId="103" xfId="0" applyNumberFormat="1" applyFont="1" applyFill="1" applyBorder="1" applyAlignment="1" applyProtection="1">
      <alignment horizontal="left" vertical="center"/>
      <protection locked="0"/>
    </xf>
    <xf numFmtId="183" fontId="118" fillId="26" borderId="307" xfId="0" applyNumberFormat="1" applyFont="1" applyFill="1" applyBorder="1" applyAlignment="1" applyProtection="1">
      <alignment horizontal="right" vertical="center"/>
      <protection locked="0"/>
    </xf>
    <xf numFmtId="171" fontId="118" fillId="26" borderId="158" xfId="0" applyNumberFormat="1" applyFont="1" applyFill="1" applyBorder="1" applyAlignment="1" applyProtection="1">
      <alignment horizontal="left" vertical="center"/>
      <protection locked="0"/>
    </xf>
    <xf numFmtId="49" fontId="123" fillId="0" borderId="0" xfId="0" applyNumberFormat="1" applyFont="1" applyAlignment="1" applyProtection="1">
      <alignment horizontal="left"/>
      <protection locked="0"/>
    </xf>
    <xf numFmtId="0" fontId="122" fillId="0" borderId="0" xfId="0" applyFont="1" applyProtection="1">
      <protection locked="0"/>
    </xf>
    <xf numFmtId="49" fontId="118" fillId="16" borderId="0" xfId="0" applyNumberFormat="1" applyFont="1" applyFill="1" applyAlignment="1" applyProtection="1">
      <alignment horizontal="left"/>
      <protection locked="0"/>
    </xf>
    <xf numFmtId="49" fontId="118" fillId="16" borderId="0" xfId="2" applyNumberFormat="1" applyFont="1" applyFill="1" applyAlignment="1" applyProtection="1">
      <alignment horizontal="left"/>
      <protection locked="0"/>
    </xf>
    <xf numFmtId="49" fontId="118" fillId="26" borderId="103" xfId="0" applyNumberFormat="1" applyFont="1" applyFill="1" applyBorder="1" applyAlignment="1" applyProtection="1">
      <alignment horizontal="center" vertical="center"/>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350">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22.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5"/>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5"/>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03E7340-2544-4759-882E-29C52309816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57F5A322-6624-495A-BF62-409329AE84C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659DD0D-AF14-42EF-A44C-90200E3C0D7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7DE522A-712E-4915-A997-A688F90AB048}"/>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1D9DC462-B06B-43E9-AF50-E8D0C8DA843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A81E8E9E-87D0-4FD0-B2FC-21249B1CB8B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5262A1DF-C821-4B0F-949B-AA42AC12E939}"/>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A72AFC9-BDD1-4DA7-BD19-7FABA4FE03C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FF8CF89-AEFA-4019-B861-EC6B2F819EB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6AFD73A-2D11-42F8-AF3F-49EF0A76B18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95A6224D-FECC-44B7-ABF2-9747C62B5A58}"/>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50E98FB2-29EB-4A47-997D-DB467F0610B1}"/>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93A8F527-3532-454A-A517-735C338E9FFF}"/>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2C053393-045E-42ED-B391-4BC3B4DE2F5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8FFEC0A-286C-4B11-B7D4-9701A2B601B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D563529-77EA-49C7-BB12-1F83378841A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A8C49638-E4AE-4D1A-B3FE-7CB73D0677D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D12E744-B278-4CA6-A6BC-9164C21021E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69A770D-DAC3-4136-BCEF-12B61E477193}"/>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C187B6D4-7C97-47B3-BC04-7C20E4DDDD3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6C320AAD-199C-4BFC-8600-2EDDEF7BDA5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D9184D3-2F0C-4025-A9AF-6749907ECBE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1A6FFD9-7FFF-428B-B3AD-85DE15E73A8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54F963D-FF19-4C2B-BE3D-39762485A2C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FD6FDFC-37FB-4292-84D6-DACA5F79574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F34ECCB-E426-444B-9EF0-81107345523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C6E6BC55-4FC9-439B-B7AD-946F70FCDE89}"/>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88A2BC06-5565-4432-AEFA-5E422BD5589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78FD5810-0510-4943-B651-9F35AEF0C9A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CD28C04-10A8-42DB-A79F-BB580FCAF73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9161C8D-60D2-4ADB-9075-D7DDA6BCE32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29970FB-D987-4775-8E6B-7029453891F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54776C67-FB70-4ED8-86BB-4CA3044213B2}"/>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50B602A3-DF64-419A-9882-1EDA8247449C}"/>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C00045BF-07F1-4B6A-8898-7ABA290D38B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BFD4CED4-C6DE-4EB9-8B5D-F6004DA2463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FBFCF97-92EA-4696-861D-4ADA04DDEF2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A9155E8D-27D9-4B01-894E-22B47C59A7B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EBB945A-ECDA-44D2-B9F5-4D20FB44789B}"/>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EEFC8238-C7D2-402F-9462-88245AAF5564}"/>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DF13AA14-D425-4BB7-BABF-074B763B5F5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2E0085C-B5C5-4818-8A2A-0D9F11BD992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67B02C15-9842-442F-9DED-4485F80F8EB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96E549C-C6CB-4F23-A269-20E701910BB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F508F29F-7415-44A0-A01F-893D649B5A3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3F4949CC-1C18-4C20-8FCF-5910F6800D5E}"/>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7A58900-CF6E-4F45-8A44-9A8661E2C5F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39416E9A-61C0-467C-84CB-81649958C8A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D9B6B113-DDAE-46D6-920A-9F527E7F078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8377CD1-041C-4667-B36A-569E477BD8D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404EA7C-4E8A-47DE-ADA0-2A80C6872FE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A797BAD-115D-49E8-9933-31C77A133BE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4A1396FD-94FB-4DC5-B856-DD61A93CC9C4}"/>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C51E76C2-5BB8-4016-B4AC-36D3E5A2159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FF93225A-5D17-4E21-A12F-A1D8F8A6F899}"/>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4D0D2616-E609-47F2-B108-7AB4FB00549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9971DFFB-989F-4E2B-8538-75482D2BB13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964832F-101D-4DFE-A2E2-A3793A51688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34BE7653-B542-43AF-9C32-21C7371B7A0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37898C66-9603-4286-A0AE-3CA8448EF95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E98548E-B5A3-4EEA-918B-BE4C259220F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D09338F7-CEA8-4C96-92AC-93D81B3F095E}"/>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5707577A-1234-4ED7-B1B9-568E06E3538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BA0FB1F-C1D1-4C77-8DDF-61DFDDAEE0E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A76E879-F117-47F8-89B6-12BFE5307AD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870ADE5-64E4-4C26-822E-9B81BAD261E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3F1F9E2-EA7C-46E0-BD54-15570EC979E7}"/>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1BC97BA-CB25-44CA-8D6D-D0910C5D1E4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FE6E9EF3-704A-41A0-B5AA-48D4765776E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2A5B6540-06D4-4D01-8FB4-C8B51669F9E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FC1AD5C-B862-4A45-BDB3-6BDACD6461F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4A62D3F-070E-43D5-9C65-585E13EE24A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C4AC2B3-1F30-45FA-863C-9C46BFD20B8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92272EB8-211F-438D-BD4B-A5DBBFA20B76}"/>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78DE1D6-3866-4A0B-B963-E3165F9D69B4}"/>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D26F76B1-DA60-45AF-9F1A-C8DE816439DC}"/>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1970C89A-0B7C-490C-B175-4449C92E399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8A96CDE-F6B4-4182-9A62-5C0D6A16CF0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86F1FBF-4580-4BB1-B69E-DF311B99FEA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3E377BDA-6DDF-443A-9A1A-D66CE245669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2DE67514-F1CC-4149-ACC3-7D5A1CE3B52B}"/>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CEE4717-E7C0-4DAA-BAD9-AB49AEC3717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1879A47-30D0-41AF-B45E-3C98E00EB1AC}"/>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3543A6F-6788-40E9-B811-0E0B1358DC0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8438C5E-9482-447F-BCD3-820BE131910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0BCBBA6-D285-41E0-B7B8-9E95CE7B18F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37984E0-D009-4D9A-B4FC-646E755CD73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81B5E2A-5338-4A97-BD49-2358767D09C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8744E40-771D-4987-B9BB-1A24A94E2936}"/>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63126664-67CA-45C5-94A8-B54247AC7051}"/>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D39B1BCF-BC1D-4CD8-BB1E-CC964181388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9C117477-BEDE-4C76-8FC8-5F13A763731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B52BE99F-A368-4DAC-A2F3-FF1C143424E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DCFC277-F20F-4680-A704-5ABBD391FD8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DC6A0769-53C5-4745-A6F6-CBC09228C3A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185FEB1-C362-4000-A2B1-F7F385603D27}"/>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A7DD2CD-A093-4AEE-89BD-1CFE236C1BCF}"/>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CCABD048-D4BC-4A14-A289-3948CDBA6308}"/>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1C47C24-447D-4986-96A8-394C249D617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2858799-01D2-431B-8056-B948E908F8B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43C1EB2-6478-4262-A9FC-3CCBD1B5752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29EA0205-2A19-48A8-95D3-BEAAC566AC4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6FF5F435-1C05-4C5B-8F37-0A9E075BD86E}"/>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ED8C92C-1974-4D65-AC26-263ABB2573EA}"/>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15EB10F-9827-4651-B031-976F2212F87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997046CF-F70F-43D6-8B52-4C79C3E930C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76A7592-6659-46C1-A5B1-9D5BB215933F}"/>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85DA4D3-EB6A-4A6A-80D6-C5FA671259E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43638D7B-B0B8-41A5-934D-6070AF6F0116}"/>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EE55BC01-CFA0-402D-9F1B-ACE62E4B9E0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F621EE-8A45-4E72-8C02-F6A698F3F93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C8A39D8D-CBB0-4D12-85E4-95875EE4725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3706D1F0-CF63-44B8-9B63-9E29662AA98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D8212A6-5E7A-4D0D-805B-DC8FF18DD20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6D10E8D-036D-43E4-B300-08F2A9AC48F7}"/>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6ED196A-86BF-4AA9-9E4D-D563E2C62D8A}"/>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28D0B894-1D5B-4A66-910B-ABED06AA762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42AC77E6-8C5E-4EB8-8756-11AB21CD009B}"/>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8B451913-A835-4BB2-9808-36DDBB96B63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BF2F3B12-BC88-4122-B754-D2C343C1733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64C1546-5997-4A2B-BECC-818A667EF25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8357DFC-CC56-45C6-A306-A4EC5F8DE57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7E93B8DD-762E-4D11-A065-5079DC78544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2721A71-9155-44CA-A2C0-4F8A141BE2BF}"/>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94BBDBCF-4F1A-4D88-8F79-3514EAAE2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9B4794EB-EA89-48E2-8831-2D1AACFDDCA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 name="Line 19">
          <a:extLst>
            <a:ext uri="{FF2B5EF4-FFF2-40B4-BE49-F238E27FC236}">
              <a16:creationId xmlns:a16="http://schemas.microsoft.com/office/drawing/2014/main" id="{00000000-0008-0000-1F00-000002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3" name="Line 20">
          <a:extLst>
            <a:ext uri="{FF2B5EF4-FFF2-40B4-BE49-F238E27FC236}">
              <a16:creationId xmlns:a16="http://schemas.microsoft.com/office/drawing/2014/main" id="{00000000-0008-0000-1F00-000003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4" name="Line 21">
          <a:extLst>
            <a:ext uri="{FF2B5EF4-FFF2-40B4-BE49-F238E27FC236}">
              <a16:creationId xmlns:a16="http://schemas.microsoft.com/office/drawing/2014/main" id="{00000000-0008-0000-1F00-000004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5" name="Text Box 25">
          <a:extLst>
            <a:ext uri="{FF2B5EF4-FFF2-40B4-BE49-F238E27FC236}">
              <a16:creationId xmlns:a16="http://schemas.microsoft.com/office/drawing/2014/main" id="{00000000-0008-0000-1F00-000005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6" name="Text Box 139">
          <a:extLst>
            <a:ext uri="{FF2B5EF4-FFF2-40B4-BE49-F238E27FC236}">
              <a16:creationId xmlns:a16="http://schemas.microsoft.com/office/drawing/2014/main" id="{00000000-0008-0000-1F00-000006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7" name="CompanyLogo">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8" name="CompanyLogo2">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806" dataDxfId="805">
  <autoFilter ref="AR1:AR7" xr:uid="{83CCCD05-2D3C-4DCC-A6EE-0DCED6E3C460}"/>
  <tableColumns count="1">
    <tableColumn id="1" xr3:uid="{A2876915-0FD7-4875-B316-012ABAE4381E}" name="Finish Types" dataDxfId="80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8.xml"/><Relationship Id="rId1" Type="http://schemas.openxmlformats.org/officeDocument/2006/relationships/printerSettings" Target="../printerSettings/printerSettings40.bin"/><Relationship Id="rId4" Type="http://schemas.openxmlformats.org/officeDocument/2006/relationships/comments" Target="../comments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9.xml"/><Relationship Id="rId1" Type="http://schemas.openxmlformats.org/officeDocument/2006/relationships/printerSettings" Target="../printerSettings/printerSettings41.bin"/><Relationship Id="rId4" Type="http://schemas.openxmlformats.org/officeDocument/2006/relationships/comments" Target="../comments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0.xml"/><Relationship Id="rId1" Type="http://schemas.openxmlformats.org/officeDocument/2006/relationships/printerSettings" Target="../printerSettings/printerSettings42.bin"/><Relationship Id="rId4" Type="http://schemas.openxmlformats.org/officeDocument/2006/relationships/comments" Target="../comments3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1.xml"/><Relationship Id="rId1" Type="http://schemas.openxmlformats.org/officeDocument/2006/relationships/printerSettings" Target="../printerSettings/printerSettings43.bin"/><Relationship Id="rId4" Type="http://schemas.openxmlformats.org/officeDocument/2006/relationships/comments" Target="../comments3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2.xml"/><Relationship Id="rId1" Type="http://schemas.openxmlformats.org/officeDocument/2006/relationships/printerSettings" Target="../printerSettings/printerSettings44.bin"/><Relationship Id="rId6" Type="http://schemas.openxmlformats.org/officeDocument/2006/relationships/comments" Target="../comments34.xml"/><Relationship Id="rId5" Type="http://schemas.openxmlformats.org/officeDocument/2006/relationships/image" Target="../media/image23.emf"/><Relationship Id="rId4" Type="http://schemas.openxmlformats.org/officeDocument/2006/relationships/control" Target="../activeX/activeX1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3.xml"/><Relationship Id="rId1" Type="http://schemas.openxmlformats.org/officeDocument/2006/relationships/printerSettings" Target="../printerSettings/printerSettings45.bin"/><Relationship Id="rId4" Type="http://schemas.openxmlformats.org/officeDocument/2006/relationships/comments" Target="../comments3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4.xml"/><Relationship Id="rId1" Type="http://schemas.openxmlformats.org/officeDocument/2006/relationships/printerSettings" Target="../printerSettings/printerSettings46.bin"/><Relationship Id="rId4" Type="http://schemas.openxmlformats.org/officeDocument/2006/relationships/comments" Target="../comments3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5.xml"/><Relationship Id="rId1" Type="http://schemas.openxmlformats.org/officeDocument/2006/relationships/printerSettings" Target="../printerSettings/printerSettings47.bin"/><Relationship Id="rId4" Type="http://schemas.openxmlformats.org/officeDocument/2006/relationships/comments" Target="../comments3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6.xml"/><Relationship Id="rId1" Type="http://schemas.openxmlformats.org/officeDocument/2006/relationships/printerSettings" Target="../printerSettings/printerSettings48.bin"/><Relationship Id="rId4" Type="http://schemas.openxmlformats.org/officeDocument/2006/relationships/comments" Target="../comments3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7.xml"/><Relationship Id="rId1" Type="http://schemas.openxmlformats.org/officeDocument/2006/relationships/printerSettings" Target="../printerSettings/printerSettings49.bin"/><Relationship Id="rId4" Type="http://schemas.openxmlformats.org/officeDocument/2006/relationships/comments" Target="../comments3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8.xml"/><Relationship Id="rId1" Type="http://schemas.openxmlformats.org/officeDocument/2006/relationships/printerSettings" Target="../printerSettings/printerSettings50.bin"/><Relationship Id="rId4" Type="http://schemas.openxmlformats.org/officeDocument/2006/relationships/comments" Target="../comments4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9.xml"/><Relationship Id="rId1" Type="http://schemas.openxmlformats.org/officeDocument/2006/relationships/printerSettings" Target="../printerSettings/printerSettings51.bin"/><Relationship Id="rId4" Type="http://schemas.openxmlformats.org/officeDocument/2006/relationships/comments" Target="../comments4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50.xml"/><Relationship Id="rId1" Type="http://schemas.openxmlformats.org/officeDocument/2006/relationships/printerSettings" Target="../printerSettings/printerSettings52.bin"/><Relationship Id="rId4" Type="http://schemas.openxmlformats.org/officeDocument/2006/relationships/comments" Target="../comments4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1.xml"/><Relationship Id="rId1" Type="http://schemas.openxmlformats.org/officeDocument/2006/relationships/printerSettings" Target="../printerSettings/printerSettings53.bin"/><Relationship Id="rId4" Type="http://schemas.openxmlformats.org/officeDocument/2006/relationships/comments" Target="../comments4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2.xml"/><Relationship Id="rId1" Type="http://schemas.openxmlformats.org/officeDocument/2006/relationships/printerSettings" Target="../printerSettings/printerSettings54.bin"/><Relationship Id="rId4" Type="http://schemas.openxmlformats.org/officeDocument/2006/relationships/comments" Target="../comments4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3.xml"/><Relationship Id="rId1" Type="http://schemas.openxmlformats.org/officeDocument/2006/relationships/printerSettings" Target="../printerSettings/printerSettings55.bin"/><Relationship Id="rId4" Type="http://schemas.openxmlformats.org/officeDocument/2006/relationships/comments" Target="../comments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1632</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1633</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1634</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1635</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1636</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1637</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1638</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1639</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1640</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1641</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1642</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1643</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1644</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1646</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1647</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1648</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1649</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1650</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1651</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1652</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1652</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1653</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1654</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1653</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1655</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1656</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1657</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1658</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1659</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1652</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1661</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1651</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1662</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1663</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1664</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1665</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1666</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1667</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1667</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1668</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1669</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1670</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1671</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1671</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1672</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1673</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1674</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1675</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1676</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1677</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1678</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1673</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1674</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1675</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1676</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1667</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1667</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1669</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1670</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1646</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1647</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1648</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1649</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1650</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1651</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1653</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1653</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1654</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1655</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1680</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1681</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1682</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1682</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1683</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1684</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1684</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1685</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1686</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1687</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1689</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1690</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1691</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1692</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1693</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1694</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1691</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c r="B8" s="1807"/>
      <c r="C8" s="1807"/>
      <c r="D8" s="1807"/>
      <c r="E8" s="1807"/>
      <c r="F8" s="1807"/>
      <c r="G8" s="1807"/>
      <c r="H8" s="1807"/>
    </row>
    <row r="9" spans="1:8" ht="15" customHeight="1" x14ac:dyDescent="0.2">
      <c r="A9" s="1052"/>
      <c r="B9" s="1806"/>
      <c r="C9" s="1806"/>
      <c r="D9" s="1806"/>
      <c r="E9" s="1806"/>
      <c r="F9" s="1806"/>
      <c r="G9" s="1806"/>
      <c r="H9" s="1806"/>
    </row>
    <row r="10" spans="1:8" ht="15" customHeight="1" x14ac:dyDescent="0.2">
      <c r="A10" s="1052"/>
      <c r="B10" s="1806"/>
      <c r="C10" s="1806"/>
      <c r="D10" s="1806"/>
      <c r="E10" s="1806"/>
      <c r="F10" s="1806"/>
      <c r="G10" s="1806"/>
      <c r="H10" s="1806"/>
    </row>
    <row r="11" spans="1:8" ht="15" customHeight="1" x14ac:dyDescent="0.2">
      <c r="A11" s="1052"/>
      <c r="B11" s="1806"/>
      <c r="C11" s="1806"/>
      <c r="D11" s="1806"/>
      <c r="E11" s="1806"/>
      <c r="F11" s="1806"/>
      <c r="G11" s="1806"/>
      <c r="H11" s="1806"/>
    </row>
    <row r="12" spans="1:8" ht="15" customHeight="1" x14ac:dyDescent="0.2">
      <c r="A12" s="1052"/>
      <c r="B12" s="1806"/>
      <c r="C12" s="1806"/>
      <c r="D12" s="1806"/>
      <c r="E12" s="1806"/>
      <c r="F12" s="1806"/>
      <c r="G12" s="1806"/>
      <c r="H12" s="1806"/>
    </row>
    <row r="13" spans="1:8" ht="15" customHeight="1" x14ac:dyDescent="0.2">
      <c r="A13" s="1052"/>
      <c r="B13" s="1806"/>
      <c r="C13" s="1806"/>
      <c r="D13" s="1806"/>
      <c r="E13" s="1806"/>
      <c r="F13" s="1806"/>
      <c r="G13" s="1806"/>
      <c r="H13" s="1806"/>
    </row>
    <row r="14" spans="1:8" ht="15" customHeight="1" x14ac:dyDescent="0.2">
      <c r="A14" s="1052"/>
      <c r="B14" s="1806"/>
      <c r="C14" s="1806"/>
      <c r="D14" s="1806"/>
      <c r="E14" s="1806"/>
      <c r="F14" s="1806"/>
      <c r="G14" s="1806"/>
      <c r="H14" s="1806"/>
    </row>
    <row r="15" spans="1:8" ht="15" customHeight="1" x14ac:dyDescent="0.2">
      <c r="A15" s="1052"/>
      <c r="B15" s="1806"/>
      <c r="C15" s="1806"/>
      <c r="D15" s="1806"/>
      <c r="E15" s="1806"/>
      <c r="F15" s="1806"/>
      <c r="G15" s="1806"/>
      <c r="H15" s="1806"/>
    </row>
    <row r="16" spans="1:8" ht="15" customHeight="1" x14ac:dyDescent="0.2">
      <c r="A16" s="1052"/>
      <c r="B16" s="1806"/>
      <c r="C16" s="1806"/>
      <c r="D16" s="1806"/>
      <c r="E16" s="1806"/>
      <c r="F16" s="1806"/>
      <c r="G16" s="1806"/>
      <c r="H16" s="1806"/>
    </row>
    <row r="17" spans="1:8" ht="15" customHeight="1" x14ac:dyDescent="0.2">
      <c r="A17" s="1052"/>
      <c r="B17" s="1806"/>
      <c r="C17" s="1806"/>
      <c r="D17" s="1806"/>
      <c r="E17" s="1806"/>
      <c r="F17" s="1806"/>
      <c r="G17" s="1806"/>
      <c r="H17" s="1806"/>
    </row>
    <row r="18" spans="1:8" ht="15" customHeight="1" x14ac:dyDescent="0.2">
      <c r="A18" s="1052"/>
      <c r="B18" s="1806"/>
      <c r="C18" s="1806"/>
      <c r="D18" s="1806"/>
      <c r="E18" s="1806"/>
      <c r="F18" s="1806"/>
      <c r="G18" s="1806"/>
      <c r="H18" s="1806"/>
    </row>
    <row r="19" spans="1:8" ht="15" customHeight="1" x14ac:dyDescent="0.2">
      <c r="A19" s="1052"/>
      <c r="B19" s="1806"/>
      <c r="C19" s="1806"/>
      <c r="D19" s="1806"/>
      <c r="E19" s="1806"/>
      <c r="F19" s="1806"/>
      <c r="G19" s="1806"/>
      <c r="H19" s="1806"/>
    </row>
    <row r="20" spans="1:8" ht="15" customHeight="1" x14ac:dyDescent="0.2">
      <c r="A20" s="1052"/>
      <c r="B20" s="1806"/>
      <c r="C20" s="1806"/>
      <c r="D20" s="1806"/>
      <c r="E20" s="1806"/>
      <c r="F20" s="1806"/>
      <c r="G20" s="1806"/>
      <c r="H20" s="1806"/>
    </row>
    <row r="21" spans="1:8" ht="15" customHeight="1" x14ac:dyDescent="0.2">
      <c r="A21" s="1052"/>
      <c r="B21" s="1806"/>
      <c r="C21" s="1806"/>
      <c r="D21" s="1806"/>
      <c r="E21" s="1806"/>
      <c r="F21" s="1806"/>
      <c r="G21" s="1806"/>
      <c r="H21" s="1806"/>
    </row>
    <row r="22" spans="1:8" ht="15" customHeight="1" x14ac:dyDescent="0.2">
      <c r="A22" s="1052"/>
      <c r="B22" s="1806"/>
      <c r="C22" s="1806"/>
      <c r="D22" s="1806"/>
      <c r="E22" s="1806"/>
      <c r="F22" s="1806"/>
      <c r="G22" s="1806"/>
      <c r="H22" s="1806"/>
    </row>
    <row r="23" spans="1:8" ht="15" customHeight="1" x14ac:dyDescent="0.2">
      <c r="A23" s="1052"/>
      <c r="B23" s="1806"/>
      <c r="C23" s="1806"/>
      <c r="D23" s="1806"/>
      <c r="E23" s="1806"/>
      <c r="F23" s="1806"/>
      <c r="G23" s="1806"/>
      <c r="H23" s="1806"/>
    </row>
    <row r="24" spans="1:8" ht="15" customHeight="1" x14ac:dyDescent="0.2">
      <c r="A24" s="1052"/>
      <c r="B24" s="1806"/>
      <c r="C24" s="1806"/>
      <c r="D24" s="1806"/>
      <c r="E24" s="1806"/>
      <c r="F24" s="1806"/>
      <c r="G24" s="1806"/>
      <c r="H24" s="1806"/>
    </row>
    <row r="25" spans="1:8" ht="15" customHeight="1" x14ac:dyDescent="0.2">
      <c r="A25" s="1052"/>
      <c r="B25" s="1806"/>
      <c r="C25" s="1806"/>
      <c r="D25" s="1806"/>
      <c r="E25" s="1806"/>
      <c r="F25" s="1806"/>
      <c r="G25" s="1806"/>
      <c r="H25" s="1806"/>
    </row>
    <row r="26" spans="1:8" ht="15" customHeight="1" x14ac:dyDescent="0.2">
      <c r="A26" s="1052"/>
      <c r="B26" s="1806"/>
      <c r="C26" s="1806"/>
      <c r="D26" s="1806"/>
      <c r="E26" s="1806"/>
      <c r="F26" s="1806"/>
      <c r="G26" s="1806"/>
      <c r="H26" s="1806"/>
    </row>
    <row r="27" spans="1:8" ht="15" customHeight="1" x14ac:dyDescent="0.2">
      <c r="A27" s="1052"/>
      <c r="B27" s="1806"/>
      <c r="C27" s="1806"/>
      <c r="D27" s="1806"/>
      <c r="E27" s="1806"/>
      <c r="F27" s="1806"/>
      <c r="G27" s="1806"/>
      <c r="H27" s="1806"/>
    </row>
    <row r="28" spans="1:8" ht="15" customHeight="1" x14ac:dyDescent="0.2">
      <c r="A28" s="1052"/>
      <c r="B28" s="1806"/>
      <c r="C28" s="1806"/>
      <c r="D28" s="1806"/>
      <c r="E28" s="1806"/>
      <c r="F28" s="1806"/>
      <c r="G28" s="1806"/>
      <c r="H28" s="1806"/>
    </row>
    <row r="29" spans="1:8" ht="15" customHeight="1" x14ac:dyDescent="0.2">
      <c r="A29" s="1052"/>
      <c r="B29" s="1806"/>
      <c r="C29" s="1806"/>
      <c r="D29" s="1806"/>
      <c r="E29" s="1806"/>
      <c r="F29" s="1806"/>
      <c r="G29" s="1806"/>
      <c r="H29" s="1806"/>
    </row>
    <row r="30" spans="1:8" ht="15" customHeight="1" x14ac:dyDescent="0.2">
      <c r="A30" s="1052"/>
      <c r="B30" s="1806"/>
      <c r="C30" s="1806"/>
      <c r="D30" s="1806"/>
      <c r="E30" s="1806"/>
      <c r="F30" s="1806"/>
      <c r="G30" s="1806"/>
      <c r="H30" s="1806"/>
    </row>
    <row r="31" spans="1:8" ht="15" customHeight="1" x14ac:dyDescent="0.2">
      <c r="A31" s="1052"/>
      <c r="B31" s="1806"/>
      <c r="C31" s="1806"/>
      <c r="D31" s="1806"/>
      <c r="E31" s="1806"/>
      <c r="F31" s="1806"/>
      <c r="G31" s="1806"/>
      <c r="H31" s="1806"/>
    </row>
    <row r="32" spans="1:8" ht="15" customHeight="1" x14ac:dyDescent="0.2">
      <c r="A32" s="1052"/>
      <c r="B32" s="1806"/>
      <c r="C32" s="1806"/>
      <c r="D32" s="1806"/>
      <c r="E32" s="1806"/>
      <c r="F32" s="1806"/>
      <c r="G32" s="1806"/>
      <c r="H32" s="1806"/>
    </row>
    <row r="33" spans="1:8" ht="15" customHeight="1" x14ac:dyDescent="0.2">
      <c r="A33" s="1052"/>
      <c r="B33" s="1806"/>
      <c r="C33" s="1806"/>
      <c r="D33" s="1806"/>
      <c r="E33" s="1806"/>
      <c r="F33" s="1806"/>
      <c r="G33" s="1806"/>
      <c r="H33" s="1806"/>
    </row>
    <row r="34" spans="1:8" ht="15" customHeight="1" x14ac:dyDescent="0.2">
      <c r="A34" s="1052"/>
      <c r="B34" s="1806"/>
      <c r="C34" s="1806"/>
      <c r="D34" s="1806"/>
      <c r="E34" s="1806"/>
      <c r="F34" s="1806"/>
      <c r="G34" s="1806"/>
      <c r="H34" s="1806"/>
    </row>
    <row r="35" spans="1:8" ht="15" customHeight="1" x14ac:dyDescent="0.2">
      <c r="A35" s="1052"/>
      <c r="B35" s="1806"/>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4">
        <f>IF(ISBLANK('Job Info.'!D8),"",'Job Info.'!D8)</f>
        <v>45048</v>
      </c>
      <c r="G1" s="1814"/>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10" t="s">
        <v>15</v>
      </c>
      <c r="C7" s="1810"/>
      <c r="D7" s="1810"/>
      <c r="E7" s="1810"/>
      <c r="F7" s="1810"/>
      <c r="G7" s="1810"/>
      <c r="H7" s="1810"/>
    </row>
    <row r="8" spans="1:8" ht="15" customHeight="1" x14ac:dyDescent="0.2">
      <c r="A8" s="1508"/>
      <c r="B8" s="1813"/>
      <c r="C8" s="1813"/>
      <c r="D8" s="1813"/>
      <c r="E8" s="1813"/>
      <c r="F8" s="1813"/>
      <c r="G8" s="1813"/>
      <c r="H8" s="1813"/>
    </row>
    <row r="9" spans="1:8" ht="15" customHeight="1" x14ac:dyDescent="0.2">
      <c r="A9" s="1516"/>
      <c r="B9" s="1815"/>
      <c r="C9" s="1815"/>
      <c r="D9" s="1815"/>
      <c r="E9" s="1815"/>
      <c r="F9" s="1815"/>
      <c r="G9" s="1815"/>
      <c r="H9" s="1815"/>
    </row>
    <row r="10" spans="1:8" ht="15" customHeight="1" x14ac:dyDescent="0.2">
      <c r="A10" s="1516"/>
      <c r="B10" s="1815"/>
      <c r="C10" s="1815"/>
      <c r="D10" s="1815"/>
      <c r="E10" s="1815"/>
      <c r="F10" s="1815"/>
      <c r="G10" s="1815"/>
      <c r="H10" s="1815"/>
    </row>
    <row r="11" spans="1:8" ht="15" customHeight="1" x14ac:dyDescent="0.2">
      <c r="A11" s="1516"/>
      <c r="B11" s="1815"/>
      <c r="C11" s="1815"/>
      <c r="D11" s="1815"/>
      <c r="E11" s="1815"/>
      <c r="F11" s="1815"/>
      <c r="G11" s="1815"/>
      <c r="H11" s="1815"/>
    </row>
    <row r="12" spans="1:8" ht="15" customHeight="1" x14ac:dyDescent="0.2">
      <c r="A12" s="1516"/>
      <c r="B12" s="1815"/>
      <c r="C12" s="1815"/>
      <c r="D12" s="1815"/>
      <c r="E12" s="1815"/>
      <c r="F12" s="1815"/>
      <c r="G12" s="1815"/>
      <c r="H12" s="1815"/>
    </row>
    <row r="13" spans="1:8" ht="15" customHeight="1" x14ac:dyDescent="0.2">
      <c r="A13" s="1516"/>
      <c r="B13" s="1815"/>
      <c r="C13" s="1815"/>
      <c r="D13" s="1815"/>
      <c r="E13" s="1815"/>
      <c r="F13" s="1815"/>
      <c r="G13" s="1815"/>
      <c r="H13" s="1815"/>
    </row>
    <row r="14" spans="1:8" ht="15" customHeight="1" x14ac:dyDescent="0.2">
      <c r="A14" s="1516"/>
      <c r="B14" s="1815"/>
      <c r="C14" s="1815"/>
      <c r="D14" s="1815"/>
      <c r="E14" s="1815"/>
      <c r="F14" s="1815"/>
      <c r="G14" s="1815"/>
      <c r="H14" s="1815"/>
    </row>
    <row r="15" spans="1:8" ht="15" customHeight="1" x14ac:dyDescent="0.2">
      <c r="A15" s="1516"/>
      <c r="B15" s="1815"/>
      <c r="C15" s="1815"/>
      <c r="D15" s="1815"/>
      <c r="E15" s="1815"/>
      <c r="F15" s="1815"/>
      <c r="G15" s="1815"/>
      <c r="H15" s="1815"/>
    </row>
    <row r="16" spans="1:8" ht="15" customHeight="1" x14ac:dyDescent="0.2">
      <c r="A16" s="1516"/>
      <c r="B16" s="1815"/>
      <c r="C16" s="1815"/>
      <c r="D16" s="1815"/>
      <c r="E16" s="1815"/>
      <c r="F16" s="1815"/>
      <c r="G16" s="1815"/>
      <c r="H16" s="1815"/>
    </row>
    <row r="17" spans="1:8" ht="15" customHeight="1" x14ac:dyDescent="0.2">
      <c r="A17" s="1516"/>
      <c r="B17" s="1815"/>
      <c r="C17" s="1815"/>
      <c r="D17" s="1815"/>
      <c r="E17" s="1815"/>
      <c r="F17" s="1815"/>
      <c r="G17" s="1815"/>
      <c r="H17" s="1815"/>
    </row>
    <row r="18" spans="1:8" ht="15" customHeight="1" x14ac:dyDescent="0.2">
      <c r="A18" s="1516"/>
      <c r="B18" s="1815"/>
      <c r="C18" s="1815"/>
      <c r="D18" s="1815"/>
      <c r="E18" s="1815"/>
      <c r="F18" s="1815"/>
      <c r="G18" s="1815"/>
      <c r="H18" s="1815"/>
    </row>
    <row r="19" spans="1:8" ht="15" customHeight="1" x14ac:dyDescent="0.2">
      <c r="A19" s="1516"/>
      <c r="B19" s="1815"/>
      <c r="C19" s="1815"/>
      <c r="D19" s="1815"/>
      <c r="E19" s="1815"/>
      <c r="F19" s="1815"/>
      <c r="G19" s="1815"/>
      <c r="H19" s="1815"/>
    </row>
    <row r="20" spans="1:8" ht="15" customHeight="1" x14ac:dyDescent="0.2">
      <c r="A20" s="1516"/>
      <c r="B20" s="1815"/>
      <c r="C20" s="1815"/>
      <c r="D20" s="1815"/>
      <c r="E20" s="1815"/>
      <c r="F20" s="1815"/>
      <c r="G20" s="1815"/>
      <c r="H20" s="1815"/>
    </row>
    <row r="21" spans="1:8" ht="15" customHeight="1" x14ac:dyDescent="0.2">
      <c r="A21" s="1516"/>
      <c r="B21" s="1815"/>
      <c r="C21" s="1815"/>
      <c r="D21" s="1815"/>
      <c r="E21" s="1815"/>
      <c r="F21" s="1815"/>
      <c r="G21" s="1815"/>
      <c r="H21" s="1815"/>
    </row>
    <row r="22" spans="1:8" ht="15" customHeight="1" x14ac:dyDescent="0.2">
      <c r="A22" s="1516"/>
      <c r="B22" s="1815"/>
      <c r="C22" s="1815"/>
      <c r="D22" s="1815"/>
      <c r="E22" s="1815"/>
      <c r="F22" s="1815"/>
      <c r="G22" s="1815"/>
      <c r="H22" s="1815"/>
    </row>
    <row r="23" spans="1:8" ht="15" customHeight="1" x14ac:dyDescent="0.2">
      <c r="A23" s="1516"/>
      <c r="B23" s="1815"/>
      <c r="C23" s="1815"/>
      <c r="D23" s="1815"/>
      <c r="E23" s="1815"/>
      <c r="F23" s="1815"/>
      <c r="G23" s="1815"/>
      <c r="H23" s="1815"/>
    </row>
    <row r="24" spans="1:8" ht="15" customHeight="1" x14ac:dyDescent="0.2">
      <c r="A24" s="1516"/>
      <c r="B24" s="1815"/>
      <c r="C24" s="1815"/>
      <c r="D24" s="1815"/>
      <c r="E24" s="1815"/>
      <c r="F24" s="1815"/>
      <c r="G24" s="1815"/>
      <c r="H24" s="1815"/>
    </row>
    <row r="25" spans="1:8" ht="15" customHeight="1" x14ac:dyDescent="0.2">
      <c r="A25" s="1516"/>
      <c r="B25" s="1815"/>
      <c r="C25" s="1815"/>
      <c r="D25" s="1815"/>
      <c r="E25" s="1815"/>
      <c r="F25" s="1815"/>
      <c r="G25" s="1815"/>
      <c r="H25" s="1815"/>
    </row>
    <row r="26" spans="1:8" ht="15" customHeight="1" x14ac:dyDescent="0.2">
      <c r="A26" s="1516"/>
      <c r="B26" s="1815"/>
      <c r="C26" s="1815"/>
      <c r="D26" s="1815"/>
      <c r="E26" s="1815"/>
      <c r="F26" s="1815"/>
      <c r="G26" s="1815"/>
      <c r="H26" s="1815"/>
    </row>
    <row r="27" spans="1:8" ht="15" customHeight="1" x14ac:dyDescent="0.2">
      <c r="A27" s="1516"/>
      <c r="B27" s="1815"/>
      <c r="C27" s="1815"/>
      <c r="D27" s="1815"/>
      <c r="E27" s="1815"/>
      <c r="F27" s="1815"/>
      <c r="G27" s="1815"/>
      <c r="H27" s="1815"/>
    </row>
    <row r="28" spans="1:8" ht="15" customHeight="1" x14ac:dyDescent="0.2">
      <c r="A28" s="1516"/>
      <c r="B28" s="1815"/>
      <c r="C28" s="1815"/>
      <c r="D28" s="1815"/>
      <c r="E28" s="1815"/>
      <c r="F28" s="1815"/>
      <c r="G28" s="1815"/>
      <c r="H28" s="1815"/>
    </row>
    <row r="29" spans="1:8" ht="15" customHeight="1" x14ac:dyDescent="0.2">
      <c r="A29" s="1516"/>
      <c r="B29" s="1815"/>
      <c r="C29" s="1815"/>
      <c r="D29" s="1815"/>
      <c r="E29" s="1815"/>
      <c r="F29" s="1815"/>
      <c r="G29" s="1815"/>
      <c r="H29" s="1815"/>
    </row>
    <row r="30" spans="1:8" ht="15" customHeight="1" x14ac:dyDescent="0.2">
      <c r="A30" s="1516"/>
      <c r="B30" s="1815"/>
      <c r="C30" s="1815"/>
      <c r="D30" s="1815"/>
      <c r="E30" s="1815"/>
      <c r="F30" s="1815"/>
      <c r="G30" s="1815"/>
      <c r="H30" s="1815"/>
    </row>
    <row r="31" spans="1:8" ht="15" customHeight="1" x14ac:dyDescent="0.2">
      <c r="A31" s="1516"/>
      <c r="B31" s="1815"/>
      <c r="C31" s="1815"/>
      <c r="D31" s="1815"/>
      <c r="E31" s="1815"/>
      <c r="F31" s="1815"/>
      <c r="G31" s="1815"/>
      <c r="H31" s="1815"/>
    </row>
    <row r="32" spans="1:8" ht="15" customHeight="1" x14ac:dyDescent="0.2">
      <c r="A32" s="1516"/>
      <c r="B32" s="1815"/>
      <c r="C32" s="1815"/>
      <c r="D32" s="1815"/>
      <c r="E32" s="1815"/>
      <c r="F32" s="1815"/>
      <c r="G32" s="1815"/>
      <c r="H32" s="1815"/>
    </row>
    <row r="33" spans="1:8" ht="15" customHeight="1" x14ac:dyDescent="0.2">
      <c r="A33" s="1516"/>
      <c r="B33" s="1815"/>
      <c r="C33" s="1815"/>
      <c r="D33" s="1815"/>
      <c r="E33" s="1815"/>
      <c r="F33" s="1815"/>
      <c r="G33" s="1815"/>
      <c r="H33" s="1815"/>
    </row>
    <row r="34" spans="1:8" ht="15" customHeight="1" x14ac:dyDescent="0.2">
      <c r="A34" s="1516"/>
      <c r="B34" s="1815"/>
      <c r="C34" s="1815"/>
      <c r="D34" s="1815"/>
      <c r="E34" s="1815"/>
      <c r="F34" s="1815"/>
      <c r="G34" s="1815"/>
      <c r="H34" s="1815"/>
    </row>
    <row r="35" spans="1:8" ht="15" customHeight="1" x14ac:dyDescent="0.2">
      <c r="A35" s="1516"/>
      <c r="B35" s="1815"/>
      <c r="C35" s="1815"/>
      <c r="D35" s="1815"/>
      <c r="E35" s="1815"/>
      <c r="F35" s="1815"/>
      <c r="G35" s="1815"/>
      <c r="H35" s="1815"/>
    </row>
    <row r="36" spans="1:8" ht="15" customHeight="1" x14ac:dyDescent="0.2">
      <c r="A36" s="1516"/>
      <c r="B36" s="1815"/>
      <c r="C36" s="1815"/>
      <c r="D36" s="1815"/>
      <c r="E36" s="1815"/>
      <c r="F36" s="1815"/>
      <c r="G36" s="1815"/>
      <c r="H36" s="1815"/>
    </row>
    <row r="37" spans="1:8" ht="15" customHeight="1" x14ac:dyDescent="0.2">
      <c r="A37" s="1516"/>
      <c r="B37" s="1815"/>
      <c r="C37" s="1815"/>
      <c r="D37" s="1815"/>
      <c r="E37" s="1815"/>
      <c r="F37" s="1815"/>
      <c r="G37" s="1815"/>
      <c r="H37" s="1815"/>
    </row>
    <row r="38" spans="1:8" ht="15" customHeight="1" x14ac:dyDescent="0.2">
      <c r="A38" s="1516"/>
      <c r="B38" s="1815"/>
      <c r="C38" s="1815"/>
      <c r="D38" s="1815"/>
      <c r="E38" s="1815"/>
      <c r="F38" s="1815"/>
      <c r="G38" s="1815"/>
      <c r="H38" s="1815"/>
    </row>
    <row r="39" spans="1:8" ht="15" customHeight="1" x14ac:dyDescent="0.2">
      <c r="A39" s="1516"/>
      <c r="B39" s="1815"/>
      <c r="C39" s="1815"/>
      <c r="D39" s="1815"/>
      <c r="E39" s="1815"/>
      <c r="F39" s="1815"/>
      <c r="G39" s="1815"/>
      <c r="H39" s="1815"/>
    </row>
    <row r="40" spans="1:8" ht="15" customHeight="1" x14ac:dyDescent="0.2">
      <c r="A40" s="1516"/>
      <c r="B40" s="1815"/>
      <c r="C40" s="1815"/>
      <c r="D40" s="1815"/>
      <c r="E40" s="1815"/>
      <c r="F40" s="1815"/>
      <c r="G40" s="1815"/>
      <c r="H40" s="1815"/>
    </row>
    <row r="41" spans="1:8" ht="15" customHeight="1" x14ac:dyDescent="0.2">
      <c r="A41" s="1516"/>
      <c r="B41" s="1815"/>
      <c r="C41" s="1815"/>
      <c r="D41" s="1815"/>
      <c r="E41" s="1815"/>
      <c r="F41" s="1815"/>
      <c r="G41" s="1815"/>
      <c r="H41" s="1815"/>
    </row>
    <row r="42" spans="1:8" ht="15" customHeight="1" x14ac:dyDescent="0.2">
      <c r="A42" s="1516"/>
      <c r="B42" s="1815"/>
      <c r="C42" s="1815"/>
      <c r="D42" s="1815"/>
      <c r="E42" s="1815"/>
      <c r="F42" s="1815"/>
      <c r="G42" s="1815"/>
      <c r="H42" s="1815"/>
    </row>
    <row r="43" spans="1:8" ht="15" customHeight="1" x14ac:dyDescent="0.2">
      <c r="A43" s="1516"/>
      <c r="B43" s="1815"/>
      <c r="C43" s="1815"/>
      <c r="D43" s="1815"/>
      <c r="E43" s="1815"/>
      <c r="F43" s="1815"/>
      <c r="G43" s="1815"/>
      <c r="H43" s="1815"/>
    </row>
    <row r="44" spans="1:8" ht="15" customHeight="1" x14ac:dyDescent="0.2">
      <c r="A44" s="1516"/>
      <c r="B44" s="1815"/>
      <c r="C44" s="1815"/>
      <c r="D44" s="1815"/>
      <c r="E44" s="1815"/>
      <c r="F44" s="1815"/>
      <c r="G44" s="1815"/>
      <c r="H44" s="1815"/>
    </row>
    <row r="45" spans="1:8" ht="15" customHeight="1" x14ac:dyDescent="0.2">
      <c r="A45" s="1516"/>
      <c r="B45" s="1815"/>
      <c r="C45" s="1815"/>
      <c r="D45" s="1815"/>
      <c r="E45" s="1815"/>
      <c r="F45" s="1815"/>
      <c r="G45" s="1815"/>
      <c r="H45" s="1815"/>
    </row>
    <row r="46" spans="1:8" ht="15" customHeight="1" x14ac:dyDescent="0.2">
      <c r="A46" s="1516"/>
      <c r="B46" s="1815"/>
      <c r="C46" s="1815"/>
      <c r="D46" s="1815"/>
      <c r="E46" s="1815"/>
      <c r="F46" s="1815"/>
      <c r="G46" s="1815"/>
      <c r="H46" s="1815"/>
    </row>
    <row r="47" spans="1:8" ht="15" customHeight="1" x14ac:dyDescent="0.2">
      <c r="A47" s="1525"/>
      <c r="B47" s="1816"/>
      <c r="C47" s="1816"/>
      <c r="D47" s="1816"/>
      <c r="E47" s="1816"/>
      <c r="F47" s="1816"/>
      <c r="G47" s="1816"/>
      <c r="H47" s="1816"/>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c r="N13" s="1539"/>
      <c r="O13" s="1528"/>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33"/>
      <c r="C18" s="1834"/>
      <c r="D18" s="1834"/>
      <c r="E18" s="1834"/>
      <c r="F18" s="1834"/>
      <c r="G18" s="1834"/>
      <c r="H18" s="1834"/>
      <c r="I18" s="1834"/>
      <c r="J18" s="1835"/>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1"/>
        <v/>
      </c>
      <c r="M20" s="1537"/>
      <c r="N20" s="1539"/>
      <c r="O20" s="1528"/>
      <c r="P20" s="794"/>
      <c r="Q20" s="795" t="s">
        <v>1028</v>
      </c>
      <c r="R20" s="788" t="str">
        <f t="shared" si="0"/>
        <v>[] - DEFLECTION</v>
      </c>
    </row>
    <row r="21" spans="1:18" ht="15.4" customHeight="1" x14ac:dyDescent="0.2">
      <c r="A21" s="1492"/>
      <c r="B21" s="1842"/>
      <c r="C21" s="1843"/>
      <c r="D21" s="1843"/>
      <c r="E21" s="1843"/>
      <c r="F21" s="1843"/>
      <c r="G21" s="1843"/>
      <c r="H21" s="1843"/>
      <c r="I21" s="1843"/>
      <c r="J21" s="1844"/>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39"/>
      <c r="C23" s="1840"/>
      <c r="D23" s="1840"/>
      <c r="E23" s="1840"/>
      <c r="F23" s="1840"/>
      <c r="G23" s="1840"/>
      <c r="H23" s="1840"/>
      <c r="I23" s="1840"/>
      <c r="J23" s="1841"/>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33"/>
      <c r="C24" s="1834"/>
      <c r="D24" s="1834"/>
      <c r="E24" s="1834"/>
      <c r="F24" s="1834"/>
      <c r="G24" s="1834"/>
      <c r="H24" s="1834"/>
      <c r="I24" s="1834"/>
      <c r="J24" s="1835"/>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33"/>
      <c r="C25" s="1834"/>
      <c r="D25" s="1834"/>
      <c r="E25" s="1834"/>
      <c r="F25" s="1834"/>
      <c r="G25" s="1834"/>
      <c r="H25" s="1834"/>
      <c r="I25" s="1834"/>
      <c r="J25" s="1835"/>
      <c r="L25" s="946" t="str">
        <f t="shared" si="1"/>
        <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134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12:E12"/>
    <mergeCell ref="B9:H9"/>
    <mergeCell ref="B10:H10"/>
    <mergeCell ref="L12:L13"/>
    <mergeCell ref="G13:H13"/>
    <mergeCell ref="F12:H12"/>
    <mergeCell ref="I1:K1"/>
    <mergeCell ref="I2:K3"/>
    <mergeCell ref="I4:K4"/>
    <mergeCell ref="A5:J5"/>
    <mergeCell ref="K10:L10"/>
    <mergeCell ref="I10:J10"/>
    <mergeCell ref="K9:N9"/>
    <mergeCell ref="AQ12:BC12"/>
    <mergeCell ref="J13:K13"/>
    <mergeCell ref="I12:K12"/>
    <mergeCell ref="M12:M13"/>
    <mergeCell ref="N12:N13"/>
  </mergeCells>
  <phoneticPr fontId="0" type="noConversion"/>
  <conditionalFormatting sqref="F14:F55">
    <cfRule type="expression" dxfId="1348" priority="14" stopIfTrue="1">
      <formula>AND($B14="NU",F14&lt;0)</formula>
    </cfRule>
  </conditionalFormatting>
  <conditionalFormatting sqref="B14:B55">
    <cfRule type="expression" dxfId="1347" priority="15" stopIfTrue="1">
      <formula>OR(AND($B14="NU",F14&lt;0),AND($B14="NU",I14&lt;0))</formula>
    </cfRule>
  </conditionalFormatting>
  <conditionalFormatting sqref="G14:H55 J14:L55">
    <cfRule type="expression" dxfId="1346" priority="16" stopIfTrue="1">
      <formula>$R14</formula>
    </cfRule>
  </conditionalFormatting>
  <conditionalFormatting sqref="I2:K4">
    <cfRule type="cellIs" dxfId="1345" priority="18" stopIfTrue="1" operator="equal">
      <formula>""</formula>
    </cfRule>
  </conditionalFormatting>
  <conditionalFormatting sqref="I14:I55">
    <cfRule type="expression" dxfId="1344" priority="272" stopIfTrue="1">
      <formula>OR($R14,$B14="CZ",AND($B14="NU",I14&lt;0))</formula>
    </cfRule>
  </conditionalFormatting>
  <conditionalFormatting sqref="A14:A55">
    <cfRule type="expression" dxfId="1343" priority="7">
      <formula>NOT($P14)</formula>
    </cfRule>
  </conditionalFormatting>
  <conditionalFormatting sqref="B14:D55">
    <cfRule type="expression" dxfId="134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341" priority="2001">
      <formula>AND(NOT($P14),$T$1)</formula>
    </cfRule>
    <cfRule type="expression" dxfId="1340" priority="2002">
      <formula>AND($AP14,$S$1="M")</formula>
    </cfRule>
  </conditionalFormatting>
  <conditionalFormatting sqref="L14:L55">
    <cfRule type="expression" dxfId="133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33"/>
      <c r="C18" s="1834"/>
      <c r="D18" s="1834"/>
      <c r="E18" s="1834"/>
      <c r="F18" s="1834"/>
      <c r="G18" s="1834"/>
      <c r="H18" s="1834"/>
      <c r="I18" s="1834"/>
      <c r="J18" s="1835"/>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42"/>
      <c r="C21" s="1843"/>
      <c r="D21" s="1843"/>
      <c r="E21" s="1843"/>
      <c r="F21" s="1843"/>
      <c r="G21" s="1843"/>
      <c r="H21" s="1843"/>
      <c r="I21" s="1843"/>
      <c r="J21" s="1844"/>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338" priority="5" stopIfTrue="1" operator="equal">
      <formula>""</formula>
    </cfRule>
  </conditionalFormatting>
  <conditionalFormatting sqref="A13:J51">
    <cfRule type="expression" dxfId="1337" priority="2">
      <formula>AND(NOT($N13),NOT($O13),$M$1)</formula>
    </cfRule>
    <cfRule type="expression" dxfId="1336" priority="4">
      <formula>AND($M13,$L$1="M")</formula>
    </cfRule>
  </conditionalFormatting>
  <conditionalFormatting sqref="A13:A51">
    <cfRule type="expression" dxfId="1335" priority="3">
      <formula>NOT(OR($N13,$O13))</formula>
    </cfRule>
  </conditionalFormatting>
  <conditionalFormatting sqref="B13:J51">
    <cfRule type="expression" dxfId="133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c r="B13" s="1079"/>
      <c r="C13" s="1057"/>
      <c r="D13" s="1080"/>
      <c r="E13" s="1875"/>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67"/>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67"/>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67"/>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333" priority="1" stopIfTrue="1" operator="equal">
      <formula>""</formula>
    </cfRule>
  </conditionalFormatting>
  <conditionalFormatting sqref="E13:N49">
    <cfRule type="expression" dxfId="133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c r="C13" s="1501"/>
      <c r="D13" s="1501"/>
      <c r="E13" s="1501"/>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331" priority="2">
      <formula>OR(A14="Girder",A14="Girders",A14="Joist",A14="Joists",A14="Bridging")</formula>
    </cfRule>
    <cfRule type="expression" dxfId="1330" priority="3">
      <formula>AND(P14&gt;0,ISBLANK(AF14),OR($R$1="",$R$1="M"))</formula>
    </cfRule>
    <cfRule type="expression" dxfId="1329" priority="11">
      <formula>$AH14</formula>
    </cfRule>
  </conditionalFormatting>
  <conditionalFormatting sqref="H2:J4">
    <cfRule type="cellIs" dxfId="1328" priority="9" stopIfTrue="1" operator="equal">
      <formula>""</formula>
    </cfRule>
  </conditionalFormatting>
  <conditionalFormatting sqref="B14:O49">
    <cfRule type="expression" dxfId="1327" priority="4">
      <formula>IF($R$1="M",AND(B14&gt;R14,R14&gt;0),B14&lt;R14)</formula>
    </cfRule>
    <cfRule type="expression" dxfId="1326" priority="7">
      <formula>OR(AND($R$1="M",NOT($S$1),B14=R14),B14="-")</formula>
    </cfRule>
    <cfRule type="expression" dxfId="1325" priority="8">
      <formula>IF(NOT(ISBLANK($R$1)),IF($R$1="M",IF(ISTEXT(B14),0,B14)&lt;R14,IF(ISTEXT(B14),0,B14)&gt;R14))</formula>
    </cfRule>
    <cfRule type="expression" dxfId="1324" priority="10">
      <formula>OR($AH14,B$63)</formula>
    </cfRule>
  </conditionalFormatting>
  <conditionalFormatting sqref="B13:O13">
    <cfRule type="expression" dxfId="1323" priority="1">
      <formula>AND(NOT(ISBLANK(B$13)),ISERROR(MATCH(B$13,$AK:$AK,0)))</formula>
    </cfRule>
    <cfRule type="expression" dxfId="132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tr">
        <f>IF(ISBLANK(DA20),"",DA20)</f>
        <v/>
      </c>
      <c r="N7" s="2144"/>
      <c r="O7" s="2144"/>
      <c r="P7" s="2144"/>
      <c r="Q7" s="2144"/>
      <c r="R7" s="2144"/>
      <c r="S7" s="2144"/>
      <c r="T7"/>
      <c r="U7"/>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0</v>
      </c>
      <c r="Y24" s="2104"/>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1985" t="s">
        <v>1140</v>
      </c>
      <c r="GB25" s="1985"/>
      <c r="GC25" s="1985"/>
      <c r="GD25" s="1985"/>
      <c r="GE25" s="1985"/>
      <c r="GF25" s="1985"/>
      <c r="GG25" s="1986"/>
      <c r="GH25" s="1986"/>
      <c r="GI25" s="1986"/>
      <c r="GJ25" s="1986"/>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EO50:EO53"/>
    <mergeCell ref="EP50:EP53"/>
    <mergeCell ref="DV52:DW52"/>
    <mergeCell ref="DX52:DY52"/>
    <mergeCell ref="EM50:EM53"/>
    <mergeCell ref="EJ50:EJ53"/>
    <mergeCell ref="EI50:EI53"/>
    <mergeCell ref="EA52:EA53"/>
    <mergeCell ref="EE50:EE53"/>
    <mergeCell ref="DZ52:DZ53"/>
    <mergeCell ref="ED50:ED53"/>
    <mergeCell ref="EB52:EB53"/>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321" priority="296">
      <formula>AND(NOT($BK28),NOT($BR28))</formula>
    </cfRule>
  </conditionalFormatting>
  <conditionalFormatting sqref="DM54:DM85 DT54:DT85">
    <cfRule type="cellIs" dxfId="1320" priority="500" stopIfTrue="1" operator="notEqual">
      <formula>DN54</formula>
    </cfRule>
  </conditionalFormatting>
  <conditionalFormatting sqref="DD28:DD45">
    <cfRule type="cellIs" dxfId="1319" priority="513" operator="greaterThan">
      <formula>EY68</formula>
    </cfRule>
    <cfRule type="expression" dxfId="1318" priority="514">
      <formula>AND(ISBLANK(DD28),EY68&gt;0)</formula>
    </cfRule>
  </conditionalFormatting>
  <conditionalFormatting sqref="DE28:DE45">
    <cfRule type="cellIs" dxfId="1317" priority="515" operator="lessThan">
      <formula>EX68</formula>
    </cfRule>
    <cfRule type="expression" dxfId="1316" priority="516">
      <formula>AND(ISBLANK(DE28),EX68&lt;&gt;"")</formula>
    </cfRule>
  </conditionalFormatting>
  <conditionalFormatting sqref="A28:B45">
    <cfRule type="expression" dxfId="1315" priority="518">
      <formula>AND(NOT($BK$1),$B28=0,OR($BJ$1="",$BJ$1="M"))</formula>
    </cfRule>
  </conditionalFormatting>
  <conditionalFormatting sqref="FQ54:FR85">
    <cfRule type="cellIs" dxfId="1314" priority="593" stopIfTrue="1" operator="lessThan">
      <formula>0</formula>
    </cfRule>
  </conditionalFormatting>
  <conditionalFormatting sqref="DI14">
    <cfRule type="expression" dxfId="1313" priority="520">
      <formula>UPPER(#REF!)="X"</formula>
    </cfRule>
  </conditionalFormatting>
  <conditionalFormatting sqref="DJ14">
    <cfRule type="expression" dxfId="1312" priority="521">
      <formula>OR(UPPER(#REF!)="X",UPPER(#REF!="X"))</formula>
    </cfRule>
  </conditionalFormatting>
  <conditionalFormatting sqref="DK14">
    <cfRule type="expression" dxfId="1311" priority="550">
      <formula>OR(UPPER(#REF!)="X",UPPER(#REF!="X"))</formula>
    </cfRule>
  </conditionalFormatting>
  <conditionalFormatting sqref="Q2:T4 AU2:AX4">
    <cfRule type="cellIs" dxfId="1310" priority="597" stopIfTrue="1" operator="equal">
      <formula>""</formula>
    </cfRule>
  </conditionalFormatting>
  <conditionalFormatting sqref="M7">
    <cfRule type="expression" dxfId="1309" priority="598" stopIfTrue="1">
      <formula>OR(ISBLANK($M$7),$M$7="")</formula>
    </cfRule>
    <cfRule type="expression" dxfId="1308" priority="599" stopIfTrue="1">
      <formula>NOT(OR(COUNTIF(masterFinishList, $M$7) &gt; 0, COUNTIF($M$7, "Other:*") &gt; 0))</formula>
    </cfRule>
  </conditionalFormatting>
  <conditionalFormatting sqref="DA20">
    <cfRule type="expression" dxfId="1307" priority="600" stopIfTrue="1">
      <formula>NOT(ISBLANK($DA$20))</formula>
    </cfRule>
  </conditionalFormatting>
  <conditionalFormatting sqref="C28:C45">
    <cfRule type="expression" dxfId="1306" priority="123">
      <formula>AND(NOT($BK28),NOT(BR28))</formula>
    </cfRule>
  </conditionalFormatting>
  <conditionalFormatting sqref="U28:U45">
    <cfRule type="expression" dxfId="1305" priority="143">
      <formula>AND(NOT($BK28),BV28="No")</formula>
    </cfRule>
  </conditionalFormatting>
  <conditionalFormatting sqref="V28:V45">
    <cfRule type="expression" dxfId="1304" priority="293">
      <formula>AND(NOT($BK28),BV28="No")</formula>
    </cfRule>
  </conditionalFormatting>
  <conditionalFormatting sqref="S28:S45">
    <cfRule type="expression" dxfId="1303" priority="119">
      <formula>AND(NOT($BK28),BT28="No")</formula>
    </cfRule>
  </conditionalFormatting>
  <conditionalFormatting sqref="T28:T45">
    <cfRule type="expression" dxfId="1302" priority="120">
      <formula>AND(NOT($BK28),BT28="No")</formula>
    </cfRule>
  </conditionalFormatting>
  <conditionalFormatting sqref="W28:W45">
    <cfRule type="expression" dxfId="1301" priority="36">
      <formula>$W28=0</formula>
    </cfRule>
  </conditionalFormatting>
  <conditionalFormatting sqref="DI15:DI45">
    <cfRule type="expression" dxfId="1300" priority="579">
      <formula>FM54="X"</formula>
    </cfRule>
  </conditionalFormatting>
  <conditionalFormatting sqref="DJ15:DJ45">
    <cfRule type="expression" dxfId="1299" priority="594">
      <formula>FM54="X"</formula>
    </cfRule>
  </conditionalFormatting>
  <conditionalFormatting sqref="DK15:DK45">
    <cfRule type="expression" dxfId="1298" priority="595">
      <formula>FM54="X"</formula>
    </cfRule>
  </conditionalFormatting>
  <conditionalFormatting sqref="DH14:DH45">
    <cfRule type="expression" dxfId="1297" priority="15">
      <formula>NOT($FQ14)</formula>
    </cfRule>
    <cfRule type="expression" dxfId="1296" priority="596">
      <formula>FJ54="G"</formula>
    </cfRule>
  </conditionalFormatting>
  <conditionalFormatting sqref="DT14:DU45">
    <cfRule type="expression" dxfId="1295" priority="977">
      <formula>GD54=0</formula>
    </cfRule>
  </conditionalFormatting>
  <conditionalFormatting sqref="AR87:AS87 AR14:AS45">
    <cfRule type="expression" dxfId="1294" priority="979">
      <formula>AND(NOT($BZ14),$FF54)</formula>
    </cfRule>
  </conditionalFormatting>
  <conditionalFormatting sqref="AV87:AW87 AV14:AW45">
    <cfRule type="expression" dxfId="1293" priority="980">
      <formula>AND(NOT($BZ14),$FG54)</formula>
    </cfRule>
  </conditionalFormatting>
  <conditionalFormatting sqref="AZ87:BA87 AZ14:BA45">
    <cfRule type="expression" dxfId="1292" priority="981">
      <formula>AND(NOT($BZ14),$FH54)</formula>
    </cfRule>
  </conditionalFormatting>
  <conditionalFormatting sqref="BD87:BE87 BD14:BE45">
    <cfRule type="expression" dxfId="1291" priority="982">
      <formula>AND(NOT($BZ14),$FI54)</formula>
    </cfRule>
  </conditionalFormatting>
  <conditionalFormatting sqref="DW14:DW45">
    <cfRule type="expression" dxfId="1290" priority="986">
      <formula>FF54</formula>
    </cfRule>
  </conditionalFormatting>
  <conditionalFormatting sqref="EA14:EA45">
    <cfRule type="expression" dxfId="1289" priority="987">
      <formula>FG54</formula>
    </cfRule>
  </conditionalFormatting>
  <conditionalFormatting sqref="EE14:EE45">
    <cfRule type="expression" dxfId="1288" priority="988">
      <formula>FH54</formula>
    </cfRule>
  </conditionalFormatting>
  <conditionalFormatting sqref="EI14:EI45">
    <cfRule type="expression" dxfId="1287" priority="989">
      <formula>FI54</formula>
    </cfRule>
  </conditionalFormatting>
  <conditionalFormatting sqref="AD87:AE87 DJ14:DK45 AD14:AE45">
    <cfRule type="expression" dxfId="1286" priority="1005">
      <formula>AND(NOT($BZ14),FIND("A",$GK54))</formula>
    </cfRule>
  </conditionalFormatting>
  <conditionalFormatting sqref="AI87:AJ87 DM14:DN45 AI14:AJ45">
    <cfRule type="expression" dxfId="1285" priority="1006">
      <formula>AND(NOT($BZ14),FIND("B",$GK54))</formula>
    </cfRule>
  </conditionalFormatting>
  <conditionalFormatting sqref="DL14:DL45">
    <cfRule type="expression" dxfId="1284" priority="4">
      <formula>AND(NOT(ISBLANK($DH14)),ISBLANK($DL14))</formula>
    </cfRule>
    <cfRule type="expression" dxfId="1283" priority="88">
      <formula>FIND("B",$GK54)</formula>
    </cfRule>
  </conditionalFormatting>
  <conditionalFormatting sqref="DI14:DI45">
    <cfRule type="expression" dxfId="1282" priority="1013">
      <formula>NOT($EY14)</formula>
    </cfRule>
  </conditionalFormatting>
  <conditionalFormatting sqref="AC14:AC45">
    <cfRule type="expression" dxfId="1281" priority="1020">
      <formula>AND(NOT($BZ14),NOT($EY14))</formula>
    </cfRule>
  </conditionalFormatting>
  <conditionalFormatting sqref="AM14:AM45">
    <cfRule type="expression" dxfId="1280" priority="83">
      <formula>AND(NOT($BZ14),AM14&lt;&gt;EZ14)</formula>
    </cfRule>
  </conditionalFormatting>
  <conditionalFormatting sqref="DQ14:DQ45">
    <cfRule type="expression" dxfId="1279" priority="82">
      <formula>DQ14&lt;&gt;EZ14</formula>
    </cfRule>
  </conditionalFormatting>
  <conditionalFormatting sqref="DB28:DC45">
    <cfRule type="expression" dxfId="1278" priority="81">
      <formula>AND(NOT($BK28),LEN($Z28)&gt;27)</formula>
    </cfRule>
  </conditionalFormatting>
  <conditionalFormatting sqref="FF14:FF45">
    <cfRule type="expression" dxfId="1277" priority="89">
      <formula>$FC14=0</formula>
    </cfRule>
  </conditionalFormatting>
  <conditionalFormatting sqref="AD14:AJ45">
    <cfRule type="expression" dxfId="1276" priority="80">
      <formula>AND(NOT($BZ14),NOT($FA14))</formula>
    </cfRule>
  </conditionalFormatting>
  <conditionalFormatting sqref="A87">
    <cfRule type="expression" dxfId="1275" priority="27" stopIfTrue="1">
      <formula>AND(NOT($BK$1),$B87=0,OR($BJ$1="",$BJ$1="M"))</formula>
    </cfRule>
  </conditionalFormatting>
  <conditionalFormatting sqref="C87">
    <cfRule type="expression" dxfId="1274" priority="24" stopIfTrue="1">
      <formula>AND(NOT($BK87),NOT(BR87))</formula>
    </cfRule>
  </conditionalFormatting>
  <conditionalFormatting sqref="U87">
    <cfRule type="expression" dxfId="1273" priority="25" stopIfTrue="1">
      <formula>AND(NOT($BK87),BV87="No")</formula>
    </cfRule>
  </conditionalFormatting>
  <conditionalFormatting sqref="V87">
    <cfRule type="expression" dxfId="1272" priority="26" stopIfTrue="1">
      <formula>AND(NOT($BK87),BV87="No")</formula>
    </cfRule>
  </conditionalFormatting>
  <conditionalFormatting sqref="S87">
    <cfRule type="expression" dxfId="1271" priority="22" stopIfTrue="1">
      <formula>AND(NOT($BK87),BT87="No")</formula>
    </cfRule>
  </conditionalFormatting>
  <conditionalFormatting sqref="T87">
    <cfRule type="expression" dxfId="1270" priority="23" stopIfTrue="1">
      <formula>AND(NOT($BK87),BT87="No")</formula>
    </cfRule>
  </conditionalFormatting>
  <conditionalFormatting sqref="W87">
    <cfRule type="expression" dxfId="1269" priority="16">
      <formula>$W87=0</formula>
    </cfRule>
  </conditionalFormatting>
  <conditionalFormatting sqref="AC87">
    <cfRule type="expression" dxfId="1268" priority="34">
      <formula>AND(NOT($BZ87),NOT($EY87))</formula>
    </cfRule>
  </conditionalFormatting>
  <conditionalFormatting sqref="AM87">
    <cfRule type="expression" dxfId="1267" priority="21">
      <formula>AND(NOT($BZ87),AM87&lt;&gt;EZ87)</formula>
    </cfRule>
  </conditionalFormatting>
  <conditionalFormatting sqref="AD87:AJ87">
    <cfRule type="expression" dxfId="1266" priority="20">
      <formula>AND(NOT($BZ87),NOT($FA87))</formula>
    </cfRule>
  </conditionalFormatting>
  <conditionalFormatting sqref="A87 CB28:DA45 C87:AA87">
    <cfRule type="expression" dxfId="1265" priority="17">
      <formula>$FN28</formula>
    </cfRule>
  </conditionalFormatting>
  <conditionalFormatting sqref="AB87:BG87">
    <cfRule type="expression" dxfId="1264" priority="19">
      <formula>$CA87</formula>
    </cfRule>
  </conditionalFormatting>
  <conditionalFormatting sqref="Z87">
    <cfRule type="expression" dxfId="1263" priority="18">
      <formula>AND(NOT($BK87),LEN($Z87)&gt;27)</formula>
    </cfRule>
  </conditionalFormatting>
  <conditionalFormatting sqref="DH14:EK45 AB14:BG45">
    <cfRule type="expression" dxfId="1262" priority="1208">
      <formula>$FP14</formula>
    </cfRule>
  </conditionalFormatting>
  <conditionalFormatting sqref="A28:Y45 AA28:AA45">
    <cfRule type="expression" dxfId="1261" priority="1215">
      <formula>$FN28</formula>
    </cfRule>
  </conditionalFormatting>
  <conditionalFormatting sqref="CB28:CB45">
    <cfRule type="expression" dxfId="1260" priority="5">
      <formula>NOT($FO28)</formula>
    </cfRule>
  </conditionalFormatting>
  <conditionalFormatting sqref="A28:A45">
    <cfRule type="expression" dxfId="1259" priority="13">
      <formula>NOT($FO28)</formula>
    </cfRule>
  </conditionalFormatting>
  <conditionalFormatting sqref="AB14:AB45">
    <cfRule type="expression" dxfId="1258" priority="12">
      <formula>NOT($FQ14)</formula>
    </cfRule>
  </conditionalFormatting>
  <conditionalFormatting sqref="Z28:Z45">
    <cfRule type="expression" dxfId="1257" priority="7">
      <formula>$FN28</formula>
    </cfRule>
  </conditionalFormatting>
  <conditionalFormatting sqref="Z28:Z45">
    <cfRule type="expression" dxfId="1256" priority="8">
      <formula>AND(NOT($BK28),LEN($Z28)&gt;27)</formula>
    </cfRule>
  </conditionalFormatting>
  <conditionalFormatting sqref="GA28:GB45">
    <cfRule type="expression" dxfId="1255" priority="6" stopIfTrue="1">
      <formula>$GM28&gt;=0.125</formula>
    </cfRule>
  </conditionalFormatting>
  <conditionalFormatting sqref="CB28:CC45">
    <cfRule type="expression" dxfId="1254" priority="14">
      <formula>AND(NOT($BK$1),$B28=0,OR($BJ$1="",$BJ$1="M"))</formula>
    </cfRule>
  </conditionalFormatting>
  <conditionalFormatting sqref="DB28:DE45">
    <cfRule type="expression" dxfId="1253" priority="1621">
      <formula>$FN28</formula>
    </cfRule>
  </conditionalFormatting>
  <conditionalFormatting sqref="CJ28:CJ45">
    <cfRule type="expression" dxfId="1252" priority="1641">
      <formula>AND(NOT($BK28),OR($CC68="M",$CC68="C",$CC68="G"))</formula>
    </cfRule>
    <cfRule type="expression" dxfId="1251" priority="1642">
      <formula>AND(NOT($BK28),AND(OR($CC68="B",$CC68="G"),CJ28="",CK28=""))</formula>
    </cfRule>
    <cfRule type="expression" dxfId="1250" priority="1643">
      <formula>AND(NOT($BK28),EG68="ERR")</formula>
    </cfRule>
  </conditionalFormatting>
  <conditionalFormatting sqref="CK28:CK45">
    <cfRule type="expression" dxfId="1249" priority="1644">
      <formula>AND(NOT($BK28),OR($CC68="M",$CC68="C",$CC68="G"))</formula>
    </cfRule>
    <cfRule type="expression" dxfId="1248" priority="1645">
      <formula>AND(NOT($BK28),AND(OR($CC68="B",$CC68="G"),CJ28="",CK28=""))</formula>
    </cfRule>
    <cfRule type="expression" dxfId="1247" priority="1646">
      <formula>AND(NOT($BK28),EG68="ERR")</formula>
    </cfRule>
  </conditionalFormatting>
  <conditionalFormatting sqref="CH28:CH45">
    <cfRule type="expression" dxfId="1246" priority="1655">
      <formula>AND(NOT($BK28),OR($CC68="M",$CC68="C"))</formula>
    </cfRule>
    <cfRule type="expression" dxfId="1245" priority="1656">
      <formula>AND(NOT($BK28),AND(CH28="",CI28="",OR($CC68="B",$CC68="G")))</formula>
    </cfRule>
    <cfRule type="expression" dxfId="1244" priority="1657">
      <formula>AND(NOT($BK28),(CH28/2)/COS(RADIANS(CL28))+CD68-DC68&lt;$FB$4)</formula>
    </cfRule>
  </conditionalFormatting>
  <conditionalFormatting sqref="CI28:CI45">
    <cfRule type="expression" dxfId="1243" priority="1658">
      <formula>AND(NOT($BK28),OR($CC68="M",$CC68="C"))</formula>
    </cfRule>
    <cfRule type="expression" dxfId="1242" priority="1659">
      <formula>AND(NOT($BK28),AND(CH28="",CI28="",OR($CC68="B",$CC68="G")))</formula>
    </cfRule>
    <cfRule type="expression" dxfId="1241" priority="1660">
      <formula>AND(NOT($BK28),(CI28/2)/COS(RADIANS(CL28))+CD68-DC68&lt;$FB$4)</formula>
    </cfRule>
  </conditionalFormatting>
  <conditionalFormatting sqref="CT28:CT45">
    <cfRule type="expression" dxfId="1240" priority="1679">
      <formula>AND(NOT($BK28),OR($CL68="M",$CL68="C",$CL68="G"))</formula>
    </cfRule>
    <cfRule type="expression" dxfId="1239" priority="1680">
      <formula>AND(NOT($BK28),AND(OR($CL68="B",$CL68="G"),CT28="",CU28=""))</formula>
    </cfRule>
    <cfRule type="expression" dxfId="1238" priority="1681">
      <formula>AND(NOT($BK28),EJ68="ERR")</formula>
    </cfRule>
  </conditionalFormatting>
  <conditionalFormatting sqref="CU28:CU45">
    <cfRule type="expression" dxfId="1237" priority="1682">
      <formula>AND(NOT($BK28),OR($CL68="M",$CL68="C",$CL68="G"))</formula>
    </cfRule>
    <cfRule type="expression" dxfId="1236" priority="1683">
      <formula>AND(NOT($BK28),AND(OR($CL68="B",$CL68="G"),CT28="",CU28=""))</formula>
    </cfRule>
    <cfRule type="expression" dxfId="1235" priority="1684">
      <formula>AND(NOT($BK28),EJ68="ERR")</formula>
    </cfRule>
  </conditionalFormatting>
  <conditionalFormatting sqref="CR28:CR45">
    <cfRule type="expression" dxfId="1234" priority="1687">
      <formula>AND(NOT($BK28),OR($CL68="M",$CL68="C"))</formula>
    </cfRule>
    <cfRule type="expression" dxfId="1233" priority="1688">
      <formula>AND(NOT($BK28),AND(CR28="",CS28="",OR($CL68="B",$CL68="G")))</formula>
    </cfRule>
    <cfRule type="expression" dxfId="1232" priority="1689">
      <formula>AND(NOT($BK28),(CR28/2)/COS(RADIANS(CV28))+CM68-DI68&lt;$FB$4)</formula>
    </cfRule>
  </conditionalFormatting>
  <conditionalFormatting sqref="CS28:CS45">
    <cfRule type="expression" dxfId="1231" priority="1690">
      <formula>AND(NOT($BK28),OR($CL68="M",$CL68="C"))</formula>
    </cfRule>
    <cfRule type="expression" dxfId="1230" priority="1691">
      <formula>AND(NOT($BK28),AND(CR28="",CS28="",OR($CL68="B",$CL68="G")))</formula>
    </cfRule>
    <cfRule type="expression" dxfId="1229" priority="1692">
      <formula>AND(NOT($BK28),(CS28/2)/COS(RADIANS(CV28))+CM68-DI68&lt;$FB$4)</formula>
    </cfRule>
  </conditionalFormatting>
  <conditionalFormatting sqref="CW28:CW45 CM28:CM45">
    <cfRule type="expression" dxfId="1228" priority="1716">
      <formula>AND(NOT($BK28),AND(ISBLANK(CM28),AND(NOT(ISBLANK(CL28)),$DA28&lt;&gt;0)))</formula>
    </cfRule>
  </conditionalFormatting>
  <conditionalFormatting sqref="CO28:CO45">
    <cfRule type="expression" dxfId="1227" priority="1896">
      <formula>ET28&lt;&gt;""</formula>
    </cfRule>
  </conditionalFormatting>
  <conditionalFormatting sqref="CY28:CY45">
    <cfRule type="expression" dxfId="1226" priority="1897">
      <formula>EU28&lt;&gt;""</formula>
    </cfRule>
  </conditionalFormatting>
  <conditionalFormatting sqref="DC28:DC45">
    <cfRule type="expression" dxfId="1225" priority="1898">
      <formula>OR(EN28&lt;&gt;"",EO28&lt;&gt;"",EP28&lt;&gt;"",EQ28&lt;&gt;"",ER28&lt;&gt;"",ES28&lt;&gt;"",ET28&lt;&gt;"",EU28&lt;&gt;"")</formula>
    </cfRule>
  </conditionalFormatting>
  <conditionalFormatting sqref="CG28:CG45">
    <cfRule type="expression" dxfId="1224" priority="1899">
      <formula>AND(NOT($BK28),ISERROR(CC68))</formula>
    </cfRule>
    <cfRule type="expression" dxfId="1223" priority="1900">
      <formula>AND(NOT($BK28),OR(ISERROR(CC68),CC68="", ET28&lt;&gt;""))</formula>
    </cfRule>
  </conditionalFormatting>
  <conditionalFormatting sqref="CQ28:CQ45">
    <cfRule type="expression" dxfId="1222" priority="1901">
      <formula>AND(NOT($BK28),ISERROR(CL68))</formula>
    </cfRule>
    <cfRule type="expression" dxfId="1221" priority="1902">
      <formula>AND(NOT($BK28),OR(CL68="", EU28&lt;&gt;""))</formula>
    </cfRule>
  </conditionalFormatting>
  <conditionalFormatting sqref="GA48:GB48">
    <cfRule type="expression" dxfId="1220" priority="3" stopIfTrue="1">
      <formula>$GM48&gt;=0.125</formula>
    </cfRule>
  </conditionalFormatting>
  <conditionalFormatting sqref="B87">
    <cfRule type="expression" dxfId="1219" priority="1">
      <formula>AND(NOT($BK$1),$B87=0,OR($BJ$1="",$BJ$1="M"))</formula>
    </cfRule>
  </conditionalFormatting>
  <conditionalFormatting sqref="B87">
    <cfRule type="expression" dxfId="1218" priority="2">
      <formula>$FN87</formula>
    </cfRule>
  </conditionalFormatting>
  <conditionalFormatting sqref="D28:E45">
    <cfRule type="expression" dxfId="121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132" t="s">
        <v>95</v>
      </c>
      <c r="BB1" s="2132"/>
      <c r="BC1" s="213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82" t="s">
        <v>1107</v>
      </c>
      <c r="FH3" s="2183"/>
      <c r="FI3" s="2184"/>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76"/>
      <c r="AW4" s="2276"/>
      <c r="AX4" s="2277"/>
      <c r="AY4" s="382"/>
      <c r="AZ4" s="382"/>
      <c r="BA4" s="2132" t="s">
        <v>97</v>
      </c>
      <c r="BB4" s="2132"/>
      <c r="BC4" s="213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29"/>
      <c r="DB4" s="21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275"/>
      <c r="AD5" s="2275"/>
      <c r="AE5" s="2275"/>
      <c r="AF5" s="2275"/>
      <c r="AG5" s="2275"/>
      <c r="AH5" s="2275"/>
      <c r="AI5" s="2275"/>
      <c r="AJ5" s="2275"/>
      <c r="AK5" s="2275"/>
      <c r="AL5" s="2275"/>
      <c r="AM5" s="2275"/>
      <c r="AN5" s="2275"/>
      <c r="AO5" s="2275"/>
      <c r="AP5" s="2275"/>
      <c r="AQ5" s="2275"/>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78" t="s">
        <v>639</v>
      </c>
      <c r="DI6" s="2173"/>
      <c r="DJ6" s="2173"/>
      <c r="DK6" s="2173"/>
      <c r="DL6" s="2173"/>
      <c r="DM6" s="2173"/>
      <c r="DN6" s="2173"/>
      <c r="DO6" s="2173"/>
      <c r="DP6" s="2173"/>
      <c r="DQ6" s="2173"/>
      <c r="DR6" s="2173"/>
      <c r="DS6" s="2173"/>
      <c r="DT6" s="2173"/>
      <c r="DU6" s="2173"/>
      <c r="DV6" s="2173"/>
      <c r="DW6" s="2173"/>
      <c r="DX6" s="2173"/>
      <c r="DY6" s="2173"/>
      <c r="DZ6" s="2173"/>
      <c r="EA6" s="2173"/>
      <c r="EB6" s="2173"/>
      <c r="EC6" s="2173"/>
      <c r="ED6" s="2173"/>
      <c r="EE6" s="2173"/>
      <c r="EF6" s="2173"/>
      <c r="EG6" s="2173"/>
      <c r="EH6" s="2173"/>
      <c r="EI6" s="2173"/>
      <c r="EJ6" s="2173"/>
      <c r="EK6" s="217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140" t="s">
        <v>26</v>
      </c>
      <c r="L7" s="2150"/>
      <c r="M7" s="2143" t="str">
        <f>IF(ISBLANK(DA4),"",DA4)</f>
        <v/>
      </c>
      <c r="N7" s="2144"/>
      <c r="O7" s="2144"/>
      <c r="P7" s="2144"/>
      <c r="Q7" s="2144"/>
      <c r="R7" s="2144"/>
      <c r="S7" s="2144"/>
      <c r="T7"/>
      <c r="U7" s="1092"/>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171" t="s">
        <v>638</v>
      </c>
      <c r="CC7" s="2207"/>
      <c r="CD7" s="2207"/>
      <c r="CE7" s="2207"/>
      <c r="CF7" s="2207"/>
      <c r="CG7" s="2207"/>
      <c r="CH7" s="2207"/>
      <c r="CI7" s="2207"/>
      <c r="CJ7" s="2207"/>
      <c r="CK7" s="2207"/>
      <c r="CL7" s="2207"/>
      <c r="CM7" s="2207"/>
      <c r="CN7" s="2207"/>
      <c r="CO7" s="2207"/>
      <c r="CP7" s="2207"/>
      <c r="CQ7" s="2207"/>
      <c r="CR7" s="2207"/>
      <c r="CS7" s="2207"/>
      <c r="CT7" s="2207"/>
      <c r="CU7" s="2207"/>
      <c r="CV7" s="2207"/>
      <c r="CW7" s="2207"/>
      <c r="CX7" s="2207"/>
      <c r="CY7" s="2207"/>
      <c r="CZ7" s="2173"/>
      <c r="DA7" s="2173"/>
      <c r="DB7" s="2173"/>
      <c r="DC7" s="2173"/>
      <c r="DD7" s="2173"/>
      <c r="DE7" s="2174"/>
      <c r="DF7" s="244"/>
      <c r="DG7" s="244"/>
      <c r="DH7" s="2249"/>
      <c r="DI7" s="1986"/>
      <c r="DJ7" s="1986"/>
      <c r="DK7" s="1986"/>
      <c r="DL7" s="1986"/>
      <c r="DM7" s="1986"/>
      <c r="DN7" s="1986"/>
      <c r="DO7" s="1986"/>
      <c r="DP7" s="1986"/>
      <c r="DQ7" s="1986"/>
      <c r="DR7" s="1986"/>
      <c r="DS7" s="1986"/>
      <c r="DT7" s="1986"/>
      <c r="DU7" s="1986"/>
      <c r="DV7" s="1986"/>
      <c r="DW7" s="1986"/>
      <c r="DX7" s="1986"/>
      <c r="DY7" s="1986"/>
      <c r="DZ7" s="1986"/>
      <c r="EA7" s="1986"/>
      <c r="EB7" s="1986"/>
      <c r="EC7" s="1986"/>
      <c r="ED7" s="1986"/>
      <c r="EE7" s="1986"/>
      <c r="EF7" s="1986"/>
      <c r="EG7" s="1986"/>
      <c r="EH7" s="1986"/>
      <c r="EI7" s="1986"/>
      <c r="EJ7" s="1986"/>
      <c r="EK7" s="2177"/>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72"/>
      <c r="B8" s="2272"/>
      <c r="C8" s="2272"/>
      <c r="D8" s="2272"/>
      <c r="E8" s="2272"/>
      <c r="F8" s="2272"/>
      <c r="G8" s="2272"/>
      <c r="H8" s="2272"/>
      <c r="I8" s="2272"/>
      <c r="J8" s="2272"/>
      <c r="K8" s="2272"/>
      <c r="L8" s="2272"/>
      <c r="M8" s="2272"/>
      <c r="N8" s="2272"/>
      <c r="O8" s="2272"/>
      <c r="P8" s="2272"/>
      <c r="Q8" s="2272"/>
      <c r="R8" s="2272"/>
      <c r="S8" s="2272"/>
      <c r="T8" s="2272"/>
      <c r="U8" s="2272"/>
      <c r="V8" s="2272"/>
      <c r="W8" s="2272"/>
      <c r="X8" s="2272"/>
      <c r="Y8" s="2272"/>
      <c r="Z8" s="2272"/>
      <c r="AA8" s="2272"/>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BI8" s="245"/>
      <c r="CA8" s="246"/>
      <c r="CB8" s="2209"/>
      <c r="CC8" s="2210"/>
      <c r="CD8" s="2210"/>
      <c r="CE8" s="2210"/>
      <c r="CF8" s="2210"/>
      <c r="CG8" s="2210"/>
      <c r="CH8" s="2210"/>
      <c r="CI8" s="2210"/>
      <c r="CJ8" s="2210"/>
      <c r="CK8" s="2210"/>
      <c r="CL8" s="2210"/>
      <c r="CM8" s="2210"/>
      <c r="CN8" s="2210"/>
      <c r="CO8" s="2210"/>
      <c r="CP8" s="2210"/>
      <c r="CQ8" s="2210"/>
      <c r="CR8" s="2210"/>
      <c r="CS8" s="2210"/>
      <c r="CT8" s="2210"/>
      <c r="CU8" s="2210"/>
      <c r="CV8" s="2210"/>
      <c r="CW8" s="2210"/>
      <c r="CX8" s="2210"/>
      <c r="CY8" s="2210"/>
      <c r="CZ8" s="1986"/>
      <c r="DA8" s="1986"/>
      <c r="DB8" s="1986"/>
      <c r="DC8" s="1986"/>
      <c r="DD8" s="1986"/>
      <c r="DE8" s="2177"/>
      <c r="DF8" s="141"/>
      <c r="DG8" s="141"/>
      <c r="DH8" s="2279"/>
      <c r="DI8" s="2246"/>
      <c r="DJ8" s="2246"/>
      <c r="DK8" s="2246"/>
      <c r="DL8" s="2246"/>
      <c r="DM8" s="2246"/>
      <c r="DN8" s="2246"/>
      <c r="DO8" s="2246"/>
      <c r="DP8" s="2246"/>
      <c r="DQ8" s="2246"/>
      <c r="DR8" s="2246"/>
      <c r="DS8" s="2246"/>
      <c r="DT8" s="2246"/>
      <c r="DU8" s="2246"/>
      <c r="DV8" s="2246"/>
      <c r="DW8" s="2246"/>
      <c r="DX8" s="2246"/>
      <c r="DY8" s="2246"/>
      <c r="DZ8" s="2246"/>
      <c r="EA8" s="2246"/>
      <c r="EB8" s="2246"/>
      <c r="EC8" s="2246"/>
      <c r="ED8" s="2246"/>
      <c r="EE8" s="2246"/>
      <c r="EF8" s="2246"/>
      <c r="EG8" s="2246"/>
      <c r="EH8" s="2246"/>
      <c r="EI8" s="2246"/>
      <c r="EJ8" s="2246"/>
      <c r="EK8" s="2247"/>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273"/>
      <c r="AD9" s="2274"/>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2" t="str">
        <f>T9</f>
        <v>NN22-0071</v>
      </c>
      <c r="AY9" s="2134"/>
      <c r="AZ9" s="2134"/>
      <c r="BA9" s="2134"/>
      <c r="BB9" s="2134"/>
      <c r="BC9" s="2134"/>
      <c r="BD9" s="2134"/>
      <c r="BE9" s="2134"/>
      <c r="BF9" s="2134"/>
      <c r="BG9" s="2134"/>
      <c r="BH9" s="1416"/>
      <c r="BI9" s="245"/>
      <c r="CA9" s="246"/>
      <c r="CB9" s="2209"/>
      <c r="CC9" s="2210"/>
      <c r="CD9" s="2210"/>
      <c r="CE9" s="2210"/>
      <c r="CF9" s="2210"/>
      <c r="CG9" s="2210"/>
      <c r="CH9" s="2210"/>
      <c r="CI9" s="2210"/>
      <c r="CJ9" s="2210"/>
      <c r="CK9" s="2210"/>
      <c r="CL9" s="2210"/>
      <c r="CM9" s="2210"/>
      <c r="CN9" s="2210"/>
      <c r="CO9" s="2210"/>
      <c r="CP9" s="2210"/>
      <c r="CQ9" s="2210"/>
      <c r="CR9" s="2210"/>
      <c r="CS9" s="2210"/>
      <c r="CT9" s="2210"/>
      <c r="CU9" s="2210"/>
      <c r="CV9" s="2210"/>
      <c r="CW9" s="2210"/>
      <c r="CX9" s="2210"/>
      <c r="CY9" s="2210"/>
      <c r="CZ9" s="1986"/>
      <c r="DA9" s="1986"/>
      <c r="DB9" s="1986"/>
      <c r="DC9" s="1986"/>
      <c r="DD9" s="1986"/>
      <c r="DE9" s="2177"/>
      <c r="DF9" s="141"/>
      <c r="DG9" s="141"/>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924"/>
      <c r="EP9" s="927"/>
      <c r="EQ9" s="241"/>
      <c r="ER9" s="241"/>
      <c r="ES9" s="241"/>
      <c r="ET9" s="2113" t="s">
        <v>615</v>
      </c>
      <c r="EU9" s="2258"/>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273"/>
      <c r="AD10" s="2274"/>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2" t="str">
        <f>Z10</f>
        <v>NR</v>
      </c>
      <c r="BF10" s="2134"/>
      <c r="BG10" s="2134"/>
      <c r="BH10" s="1416"/>
      <c r="BI10" s="245"/>
      <c r="CA10" s="246"/>
      <c r="CB10" s="2234"/>
      <c r="CC10" s="1986"/>
      <c r="CD10" s="1986"/>
      <c r="CE10" s="1986"/>
      <c r="CF10" s="2177"/>
      <c r="CG10" s="2230" t="s">
        <v>469</v>
      </c>
      <c r="CH10" s="2231"/>
      <c r="CI10" s="2231"/>
      <c r="CJ10" s="2231"/>
      <c r="CK10" s="2231"/>
      <c r="CL10" s="2231"/>
      <c r="CM10" s="2231"/>
      <c r="CN10" s="2173"/>
      <c r="CO10" s="2173"/>
      <c r="CP10" s="2174"/>
      <c r="CQ10" s="2230" t="s">
        <v>470</v>
      </c>
      <c r="CR10" s="2231"/>
      <c r="CS10" s="2231"/>
      <c r="CT10" s="2231"/>
      <c r="CU10" s="2231"/>
      <c r="CV10" s="2231"/>
      <c r="CW10" s="2231"/>
      <c r="CX10" s="2173"/>
      <c r="CY10" s="2173"/>
      <c r="CZ10" s="2174"/>
      <c r="DA10" s="2298"/>
      <c r="DB10" s="2253"/>
      <c r="DC10" s="2253"/>
      <c r="DD10" s="2253"/>
      <c r="DE10" s="2254"/>
      <c r="DF10" s="141"/>
      <c r="DG10" s="1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241"/>
      <c r="EO10" s="241"/>
      <c r="EP10" s="241"/>
      <c r="EQ10" s="241"/>
      <c r="ER10" s="241"/>
      <c r="ES10" s="241"/>
      <c r="ET10" s="2259"/>
      <c r="EU10" s="2260"/>
      <c r="FW10" s="245"/>
      <c r="FX10" s="245"/>
      <c r="FY10" s="245"/>
      <c r="FZ10" s="245"/>
      <c r="GA10" s="1985" t="s">
        <v>1140</v>
      </c>
      <c r="GB10" s="2295"/>
      <c r="GC10" s="2295"/>
      <c r="GD10" s="2295"/>
      <c r="GE10" s="2295"/>
      <c r="GF10" s="2295"/>
      <c r="GG10" s="1986"/>
      <c r="GH10" s="1986"/>
      <c r="GI10" s="1986"/>
      <c r="GJ10" s="1986"/>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2235"/>
      <c r="CC11" s="2236"/>
      <c r="CD11" s="2236"/>
      <c r="CE11" s="2236"/>
      <c r="CF11" s="2237"/>
      <c r="CG11" s="2232"/>
      <c r="CH11" s="2233"/>
      <c r="CI11" s="2233"/>
      <c r="CJ11" s="2233"/>
      <c r="CK11" s="2233"/>
      <c r="CL11" s="2233"/>
      <c r="CM11" s="2233"/>
      <c r="CN11" s="1986"/>
      <c r="CO11" s="1986"/>
      <c r="CP11" s="2177"/>
      <c r="CQ11" s="2244"/>
      <c r="CR11" s="2245"/>
      <c r="CS11" s="2245"/>
      <c r="CT11" s="2245"/>
      <c r="CU11" s="2245"/>
      <c r="CV11" s="2245"/>
      <c r="CW11" s="2245"/>
      <c r="CX11" s="2246"/>
      <c r="CY11" s="2246"/>
      <c r="CZ11" s="2247"/>
      <c r="DA11" s="1576"/>
      <c r="DB11" s="2248"/>
      <c r="DC11" s="2174"/>
      <c r="DD11" s="2250"/>
      <c r="DE11" s="2251"/>
      <c r="DF11" s="141"/>
      <c r="DG11" s="141"/>
      <c r="DH11" s="2189"/>
      <c r="DI11" s="2256"/>
      <c r="DJ11" s="1986"/>
      <c r="DK11" s="1986"/>
      <c r="DL11" s="1986"/>
      <c r="DM11" s="1986"/>
      <c r="DN11" s="2257"/>
      <c r="DO11" s="2186"/>
      <c r="DP11" s="2299"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241"/>
      <c r="ES11" s="241"/>
      <c r="ET11" s="2259"/>
      <c r="EU11" s="2260"/>
      <c r="FW11" s="2"/>
      <c r="FX11" s="2"/>
      <c r="FY11" s="2"/>
      <c r="FZ11" s="2"/>
      <c r="GA11" s="2296"/>
      <c r="GB11" s="2296"/>
      <c r="GC11" s="2296"/>
      <c r="GD11" s="2296"/>
      <c r="GE11" s="2296"/>
      <c r="GF11" s="2296"/>
      <c r="GG11" s="2236"/>
      <c r="GH11" s="2236"/>
      <c r="GI11" s="2236"/>
      <c r="GJ11" s="2236"/>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1949" t="s">
        <v>40</v>
      </c>
      <c r="B12" s="1950" t="s">
        <v>130</v>
      </c>
      <c r="C12" s="1950" t="s">
        <v>31</v>
      </c>
      <c r="D12" s="1950" t="s">
        <v>25</v>
      </c>
      <c r="E12" s="1951"/>
      <c r="F12" s="1952" t="s">
        <v>88</v>
      </c>
      <c r="G12" s="1925" t="s">
        <v>9</v>
      </c>
      <c r="H12" s="1923"/>
      <c r="I12" s="1923"/>
      <c r="J12" s="1923" t="s">
        <v>10</v>
      </c>
      <c r="K12" s="1923"/>
      <c r="L12" s="1926"/>
      <c r="M12" s="1953" t="s">
        <v>11</v>
      </c>
      <c r="N12" s="1954"/>
      <c r="O12" s="1955" t="s">
        <v>12</v>
      </c>
      <c r="P12" s="1920"/>
      <c r="Q12" s="1920" t="s">
        <v>13</v>
      </c>
      <c r="R12" s="1921"/>
      <c r="S12" s="1922" t="s">
        <v>14</v>
      </c>
      <c r="T12" s="1923"/>
      <c r="U12" s="1923"/>
      <c r="V12" s="1923"/>
      <c r="W12" s="1924"/>
      <c r="X12" s="1925" t="s">
        <v>111</v>
      </c>
      <c r="Y12" s="1926"/>
      <c r="Z12" s="1116" t="s">
        <v>15</v>
      </c>
      <c r="AA12" s="2270" t="s">
        <v>939</v>
      </c>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282" t="s">
        <v>82</v>
      </c>
      <c r="AS12" s="2283"/>
      <c r="AT12" s="2283"/>
      <c r="AU12" s="2283"/>
      <c r="AV12" s="2283"/>
      <c r="AW12" s="2283"/>
      <c r="AX12" s="2283"/>
      <c r="AY12" s="2283"/>
      <c r="AZ12" s="2283"/>
      <c r="BA12" s="2283"/>
      <c r="BB12" s="2283"/>
      <c r="BC12" s="2283"/>
      <c r="BD12" s="2283"/>
      <c r="BE12" s="2283"/>
      <c r="BF12" s="2283"/>
      <c r="BG12" s="2283"/>
      <c r="BH12" s="1416"/>
      <c r="BJ12" s="117"/>
      <c r="BK12" s="117"/>
      <c r="BL12" s="117"/>
      <c r="BM12" s="117"/>
      <c r="BN12" s="117"/>
      <c r="BO12" s="117"/>
      <c r="BW12" s="2267" t="s">
        <v>630</v>
      </c>
      <c r="BX12" s="2268"/>
      <c r="BY12" s="2268"/>
      <c r="BZ12" s="2269"/>
      <c r="CA12" s="105"/>
      <c r="CB12" s="2094" t="s">
        <v>613</v>
      </c>
      <c r="CC12" s="2169" t="s">
        <v>130</v>
      </c>
      <c r="CD12" s="2096" t="s">
        <v>478</v>
      </c>
      <c r="CE12" s="2163" t="s">
        <v>1291</v>
      </c>
      <c r="CF12" s="2164"/>
      <c r="CG12" s="1958" t="s">
        <v>1292</v>
      </c>
      <c r="CH12" s="1960" t="s">
        <v>595</v>
      </c>
      <c r="CI12" s="1961"/>
      <c r="CJ12" s="1960" t="s">
        <v>596</v>
      </c>
      <c r="CK12" s="1961"/>
      <c r="CL12" s="1977" t="s">
        <v>488</v>
      </c>
      <c r="CM12" s="1979" t="s">
        <v>790</v>
      </c>
      <c r="CN12" s="2238" t="s">
        <v>1276</v>
      </c>
      <c r="CO12" s="2239"/>
      <c r="CP12" s="2240"/>
      <c r="CQ12" s="1964" t="s">
        <v>1292</v>
      </c>
      <c r="CR12" s="1966" t="s">
        <v>595</v>
      </c>
      <c r="CS12" s="1967"/>
      <c r="CT12" s="1966" t="s">
        <v>596</v>
      </c>
      <c r="CU12" s="1967"/>
      <c r="CV12" s="2167" t="s">
        <v>488</v>
      </c>
      <c r="CW12" s="1975" t="s">
        <v>790</v>
      </c>
      <c r="CX12" s="2241" t="s">
        <v>1276</v>
      </c>
      <c r="CY12" s="2242"/>
      <c r="CZ12" s="2243"/>
      <c r="DA12" s="1956" t="s">
        <v>806</v>
      </c>
      <c r="DB12" s="2249"/>
      <c r="DC12" s="2177"/>
      <c r="DD12" s="1972" t="s">
        <v>1284</v>
      </c>
      <c r="DE12" s="1974" t="s">
        <v>1285</v>
      </c>
      <c r="DF12" s="141"/>
      <c r="DG12" s="141"/>
      <c r="DH12" s="2189"/>
      <c r="DI12" s="2196" t="s">
        <v>1289</v>
      </c>
      <c r="DJ12" s="2198" t="s">
        <v>32</v>
      </c>
      <c r="DK12" s="2199"/>
      <c r="DL12" s="2180" t="s">
        <v>34</v>
      </c>
      <c r="DM12" s="2179" t="s">
        <v>489</v>
      </c>
      <c r="DN12" s="2191"/>
      <c r="DO12" s="2186"/>
      <c r="DP12" s="2299"/>
      <c r="DQ12" s="2202" t="s">
        <v>602</v>
      </c>
      <c r="DR12" s="2227"/>
      <c r="DS12" s="2202" t="s">
        <v>604</v>
      </c>
      <c r="DT12" s="2204" t="s">
        <v>605</v>
      </c>
      <c r="DU12" s="2205"/>
      <c r="DV12" s="2280" t="s">
        <v>598</v>
      </c>
      <c r="DW12" s="2281"/>
      <c r="DX12" s="2036" t="s">
        <v>1287</v>
      </c>
      <c r="DY12" s="2194" t="s">
        <v>1288</v>
      </c>
      <c r="DZ12" s="2280" t="s">
        <v>598</v>
      </c>
      <c r="EA12" s="2281"/>
      <c r="EB12" s="2036" t="s">
        <v>1287</v>
      </c>
      <c r="EC12" s="2194" t="s">
        <v>1288</v>
      </c>
      <c r="ED12" s="2280" t="s">
        <v>598</v>
      </c>
      <c r="EE12" s="2281"/>
      <c r="EF12" s="2036" t="s">
        <v>1287</v>
      </c>
      <c r="EG12" s="2194" t="s">
        <v>1288</v>
      </c>
      <c r="EH12" s="2280" t="s">
        <v>598</v>
      </c>
      <c r="EI12" s="2281"/>
      <c r="EJ12" s="2036" t="s">
        <v>1287</v>
      </c>
      <c r="EK12" s="2038" t="s">
        <v>1288</v>
      </c>
      <c r="EL12" s="241"/>
      <c r="EM12" s="1981" t="s">
        <v>789</v>
      </c>
      <c r="EN12" s="1983" t="s">
        <v>588</v>
      </c>
      <c r="EO12" s="1984"/>
      <c r="EP12" s="1984"/>
      <c r="EQ12" s="1981" t="s">
        <v>589</v>
      </c>
      <c r="ER12" s="1970" t="s">
        <v>786</v>
      </c>
      <c r="ES12" s="1971"/>
      <c r="ET12" s="2261"/>
      <c r="EU12" s="2262"/>
      <c r="FW12" s="2"/>
      <c r="FX12" s="2"/>
      <c r="FY12" s="2"/>
      <c r="FZ12" s="2"/>
      <c r="GA12" s="2043" t="s">
        <v>708</v>
      </c>
      <c r="GB12" s="2044"/>
      <c r="GC12" s="2043" t="s">
        <v>558</v>
      </c>
      <c r="GD12" s="2044"/>
      <c r="GE12" s="2087" t="s">
        <v>711</v>
      </c>
      <c r="GF12" s="2089" t="s">
        <v>632</v>
      </c>
      <c r="GG12" s="2043" t="s">
        <v>1142</v>
      </c>
      <c r="GH12" s="2044"/>
      <c r="GI12" s="2043" t="s">
        <v>1141</v>
      </c>
      <c r="GJ12" s="2044"/>
      <c r="GK12" s="2047" t="s">
        <v>712</v>
      </c>
      <c r="GL12" s="2047" t="s">
        <v>713</v>
      </c>
      <c r="GM12" s="2047" t="s">
        <v>714</v>
      </c>
      <c r="HA12" s="2053" t="s">
        <v>632</v>
      </c>
      <c r="HB12" s="2029" t="s">
        <v>1134</v>
      </c>
      <c r="HC12" s="2029" t="s">
        <v>1159</v>
      </c>
      <c r="HD12" s="2029" t="str">
        <f>IF($HA$1,"Bay Length","Overall Length")</f>
        <v>Overall Length</v>
      </c>
      <c r="HE12" s="2030"/>
      <c r="HF12" s="2029" t="str">
        <f>IF($HA$1,"L Sect #","TC Width")</f>
        <v>TC Width</v>
      </c>
      <c r="HG12" s="1987" t="str">
        <f>IF($HA$1,"L Min Sup Wid","TCXL Feet")</f>
        <v>TCXL Feet</v>
      </c>
      <c r="HH12" s="1987" t="str">
        <f>IF($HA$1,"L Max Sup Wid","TCXL Inch")</f>
        <v>TCXL Inch</v>
      </c>
      <c r="HI12" s="1987" t="str">
        <f>IF($HA$1,"L Min Flg Ga","TCXL Type")</f>
        <v>TCXL Type</v>
      </c>
      <c r="HJ12" s="1987" t="str">
        <f>IF($HA$1,"L Max Flg Ga","TCXR Feet")</f>
        <v>TCXR Feet</v>
      </c>
      <c r="HK12" s="1987" t="str">
        <f>IF($HA$1,"L Skew","TCXR Inch")</f>
        <v>TCXR Inch</v>
      </c>
      <c r="HL12" s="1987" t="str">
        <f>IF($HA$1,"L Brg Slp","TCXR Type")</f>
        <v>TCXR Type</v>
      </c>
      <c r="HM12" s="2029" t="str">
        <f>IF($HA$1,"R Sect #","BDL")</f>
        <v>BDL</v>
      </c>
      <c r="HN12" s="1987" t="str">
        <f>IF($HA$1,"R Min Sup Wid","BDR")</f>
        <v>BDR</v>
      </c>
      <c r="HO12" s="1987" t="str">
        <f>IF($HA$1,"R Max Sup Wid","BCXL Feet")</f>
        <v>BCXL Feet</v>
      </c>
      <c r="HP12" s="1987" t="str">
        <f>IF($HA$1,"R Min Flg Ga","BCXL Inch")</f>
        <v>BCXL Inch</v>
      </c>
      <c r="HQ12" s="1987" t="str">
        <f>IF($HA$1,"R Max Flg Ga","BCXR Feet")</f>
        <v>BCXR Feet</v>
      </c>
      <c r="HR12" s="1987" t="str">
        <f>IF($HA$1,"R Skew","BCXR Inch")</f>
        <v>BCXR Inch</v>
      </c>
      <c r="HS12" s="1987" t="str">
        <f>IF($HA$1,"R Brg Slp","HL Feet")</f>
        <v>HL Feet</v>
      </c>
      <c r="HT12" s="1987" t="str">
        <f>IF($HA$1,"TC Slope","HL Inch")</f>
        <v>HL Inch</v>
      </c>
      <c r="HU12" s="1987" t="str">
        <f>IF($HA$1,"Load Notes","HR Feet")</f>
        <v>HR Feet</v>
      </c>
      <c r="HV12" s="1987" t="str">
        <f>IF($HA$1,"Spcl Notes","HR Inch")</f>
        <v>HR Inch</v>
      </c>
      <c r="HW12" s="1987" t="str">
        <f>IF($HA$1,"# KB","Slot Ga")</f>
        <v>Slot Ga</v>
      </c>
      <c r="HX12" s="1987" t="str">
        <f>IF($HA$1,"TC Width","L Seat Slp")</f>
        <v>L Seat Slp</v>
      </c>
      <c r="HY12" s="1987" t="str">
        <f>IF($HA$1,"TCL Override","R Seat Slp")</f>
        <v>R Seat Slp</v>
      </c>
      <c r="HZ12" s="1987" t="str">
        <f>IF($HA$1,"TCR Override","Load Notes")</f>
        <v>Load Notes</v>
      </c>
      <c r="IA12" s="1987" t="str">
        <f>IF($HA$1,"L-BL Override","Spcl Notes")</f>
        <v>Spcl Notes</v>
      </c>
      <c r="IB12" s="1989" t="str">
        <f>IF($HA$1,"R-BL Override","# KB")</f>
        <v># KB</v>
      </c>
      <c r="IC12" s="1987" t="str">
        <f>IF($HA$1,"BDL Override","-")</f>
        <v>-</v>
      </c>
      <c r="ID12" s="2265" t="str">
        <f>IF($HA$1,"BDR Override","-")</f>
        <v>-</v>
      </c>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93"/>
      <c r="JN12" s="1193"/>
      <c r="JO12" s="1193"/>
    </row>
    <row r="13" spans="1:276" ht="21" customHeight="1" thickTop="1" thickBot="1" x14ac:dyDescent="0.3">
      <c r="A13" s="1949"/>
      <c r="B13" s="1950"/>
      <c r="C13" s="1950"/>
      <c r="D13" s="1950"/>
      <c r="E13" s="1951"/>
      <c r="F13" s="1952"/>
      <c r="G13" s="1929" t="s">
        <v>16</v>
      </c>
      <c r="H13" s="1930"/>
      <c r="I13" s="1102" t="s">
        <v>732</v>
      </c>
      <c r="J13" s="1930" t="s">
        <v>16</v>
      </c>
      <c r="K13" s="1930"/>
      <c r="L13" s="1065" t="s">
        <v>732</v>
      </c>
      <c r="M13" s="1106" t="s">
        <v>18</v>
      </c>
      <c r="N13" s="461" t="s">
        <v>19</v>
      </c>
      <c r="O13" s="1955"/>
      <c r="P13" s="1920"/>
      <c r="Q13" s="1920"/>
      <c r="R13" s="1921"/>
      <c r="S13" s="1931" t="s">
        <v>80</v>
      </c>
      <c r="T13" s="1930"/>
      <c r="U13" s="1930" t="s">
        <v>81</v>
      </c>
      <c r="V13" s="1930"/>
      <c r="W13" s="461" t="s">
        <v>27</v>
      </c>
      <c r="X13" s="1101" t="s">
        <v>112</v>
      </c>
      <c r="Y13" s="1065" t="s">
        <v>113</v>
      </c>
      <c r="Z13" s="1117" t="s">
        <v>57</v>
      </c>
      <c r="AA13" s="2271"/>
      <c r="AB13" s="1949"/>
      <c r="AC13" s="2106"/>
      <c r="AD13" s="2137"/>
      <c r="AE13" s="2138"/>
      <c r="AF13" s="1102" t="s">
        <v>33</v>
      </c>
      <c r="AG13" s="1930" t="s">
        <v>16</v>
      </c>
      <c r="AH13" s="1930"/>
      <c r="AI13" s="2137"/>
      <c r="AJ13" s="2138"/>
      <c r="AK13" s="2152"/>
      <c r="AL13" s="1118" t="s">
        <v>738</v>
      </c>
      <c r="AM13" s="1103" t="s">
        <v>735</v>
      </c>
      <c r="AN13" s="1103" t="s">
        <v>736</v>
      </c>
      <c r="AO13" s="1104"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95"/>
      <c r="CC13" s="2168"/>
      <c r="CD13" s="1968"/>
      <c r="CE13" s="2165"/>
      <c r="CF13" s="2166"/>
      <c r="CG13" s="1959"/>
      <c r="CH13" s="1962"/>
      <c r="CI13" s="1963"/>
      <c r="CJ13" s="1962"/>
      <c r="CK13" s="1963"/>
      <c r="CL13" s="1978"/>
      <c r="CM13" s="1980"/>
      <c r="CN13" s="1546" t="s">
        <v>1283</v>
      </c>
      <c r="CO13" s="1547" t="s">
        <v>1278</v>
      </c>
      <c r="CP13" s="1548" t="s">
        <v>501</v>
      </c>
      <c r="CQ13" s="1965"/>
      <c r="CR13" s="1968"/>
      <c r="CS13" s="1969"/>
      <c r="CT13" s="1968"/>
      <c r="CU13" s="1969"/>
      <c r="CV13" s="2168"/>
      <c r="CW13" s="1976"/>
      <c r="CX13" s="1546" t="s">
        <v>1283</v>
      </c>
      <c r="CY13" s="1547" t="s">
        <v>1278</v>
      </c>
      <c r="CZ13" s="1548" t="s">
        <v>501</v>
      </c>
      <c r="DA13" s="1957"/>
      <c r="DB13" s="431" t="s">
        <v>418</v>
      </c>
      <c r="DC13" s="432" t="s">
        <v>553</v>
      </c>
      <c r="DD13" s="1973"/>
      <c r="DE13" s="1973"/>
      <c r="DF13" s="141"/>
      <c r="DG13" s="141"/>
      <c r="DH13" s="2190"/>
      <c r="DI13" s="2197"/>
      <c r="DJ13" s="2200"/>
      <c r="DK13" s="2201"/>
      <c r="DL13" s="2181"/>
      <c r="DM13" s="2192"/>
      <c r="DN13" s="2193"/>
      <c r="DO13" s="2187"/>
      <c r="DP13" s="2300"/>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241"/>
      <c r="EM13" s="1982"/>
      <c r="EN13" s="522" t="s">
        <v>585</v>
      </c>
      <c r="EO13" s="433" t="s">
        <v>586</v>
      </c>
      <c r="EP13" s="434" t="s">
        <v>587</v>
      </c>
      <c r="EQ13" s="198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088"/>
      <c r="GF13" s="2088"/>
      <c r="GG13" s="542" t="s">
        <v>709</v>
      </c>
      <c r="GH13" s="543" t="s">
        <v>710</v>
      </c>
      <c r="GI13" s="542" t="s">
        <v>709</v>
      </c>
      <c r="GJ13" s="543" t="s">
        <v>710</v>
      </c>
      <c r="GK13" s="2048"/>
      <c r="GL13" s="2048"/>
      <c r="GM13" s="2048"/>
      <c r="HA13" s="2289"/>
      <c r="HB13" s="2263"/>
      <c r="HC13" s="2263"/>
      <c r="HD13" s="2263"/>
      <c r="HE13" s="2263"/>
      <c r="HF13" s="2263"/>
      <c r="HG13" s="2263"/>
      <c r="HH13" s="2263"/>
      <c r="HI13" s="2263"/>
      <c r="HJ13" s="2263"/>
      <c r="HK13" s="2263"/>
      <c r="HL13" s="2263"/>
      <c r="HM13" s="2263"/>
      <c r="HN13" s="2263"/>
      <c r="HO13" s="2263"/>
      <c r="HP13" s="2263"/>
      <c r="HQ13" s="2263"/>
      <c r="HR13" s="2263"/>
      <c r="HS13" s="2263"/>
      <c r="HT13" s="2263"/>
      <c r="HU13" s="2263"/>
      <c r="HV13" s="2263"/>
      <c r="HW13" s="2263"/>
      <c r="HX13" s="2263"/>
      <c r="HY13" s="2263"/>
      <c r="HZ13" s="2263"/>
      <c r="IA13" s="2263"/>
      <c r="IB13" s="2264"/>
      <c r="IC13" s="2263"/>
      <c r="ID13" s="2266"/>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246"/>
      <c r="FM50" s="246"/>
      <c r="FN50" s="2008" t="s">
        <v>616</v>
      </c>
      <c r="FO50" s="2009"/>
      <c r="FP50" s="2009"/>
      <c r="FQ50" s="2009"/>
      <c r="FR50" s="2009"/>
      <c r="FS50" s="2010"/>
      <c r="FT50" s="2055" t="s">
        <v>617</v>
      </c>
      <c r="FU50" s="2056"/>
      <c r="FV50" s="2056"/>
      <c r="FW50" s="2056"/>
      <c r="FX50" s="2056"/>
      <c r="FY50" s="2056"/>
      <c r="FZ50" s="205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2"/>
      <c r="EQ51" s="1992"/>
      <c r="ER51" s="1992"/>
      <c r="ES51" s="1992"/>
      <c r="ET51" s="1992"/>
      <c r="EU51" s="1992"/>
      <c r="EV51" s="293"/>
      <c r="EW51" s="293"/>
      <c r="EX51" s="1995" t="s">
        <v>618</v>
      </c>
      <c r="EY51" s="1993" t="s">
        <v>619</v>
      </c>
      <c r="EZ51" s="293"/>
      <c r="FA51" s="293"/>
      <c r="FB51" s="293"/>
      <c r="FC51" s="293"/>
      <c r="FD51" s="293"/>
      <c r="FF51" s="2085" t="s">
        <v>947</v>
      </c>
      <c r="FG51" s="2086"/>
      <c r="FH51" s="2086"/>
      <c r="FI51" s="2086"/>
      <c r="FL51" s="246"/>
      <c r="FM51" s="246"/>
      <c r="FN51" s="2011"/>
      <c r="FO51" s="2012"/>
      <c r="FP51" s="2012"/>
      <c r="FQ51" s="2012"/>
      <c r="FR51" s="2012"/>
      <c r="FS51" s="2013"/>
      <c r="FT51" s="2058"/>
      <c r="FU51" s="2059"/>
      <c r="FV51" s="2059"/>
      <c r="FW51" s="2059"/>
      <c r="FX51" s="2059"/>
      <c r="FY51" s="2059"/>
      <c r="FZ51" s="2060"/>
      <c r="GA51" s="245"/>
      <c r="GB51" s="245"/>
      <c r="GC51" s="245"/>
      <c r="GD51" s="245"/>
      <c r="GE51" s="245"/>
      <c r="GF51" s="245"/>
      <c r="GG51" s="245"/>
      <c r="GH51" s="245"/>
      <c r="GI51" s="245"/>
      <c r="GJ51" s="245"/>
      <c r="GK51" s="2"/>
    </row>
    <row r="52" spans="1:193" ht="12.6"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509</v>
      </c>
      <c r="DA52" s="2102"/>
      <c r="DB52" s="2156" t="s">
        <v>510</v>
      </c>
      <c r="DC52" s="2021" t="s">
        <v>513</v>
      </c>
      <c r="DD52" s="2021" t="s">
        <v>514</v>
      </c>
      <c r="DE52" s="2156" t="s">
        <v>544</v>
      </c>
      <c r="DF52" s="2101" t="s">
        <v>511</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2"/>
      <c r="EQ52" s="1992"/>
      <c r="ER52" s="1992"/>
      <c r="ES52" s="1992"/>
      <c r="ET52" s="1992"/>
      <c r="EU52" s="1992"/>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297" t="s">
        <v>493</v>
      </c>
      <c r="FP52" s="2286" t="s">
        <v>494</v>
      </c>
      <c r="FQ52" s="2286" t="s">
        <v>495</v>
      </c>
      <c r="FR52" s="2294" t="s">
        <v>496</v>
      </c>
      <c r="FS52" s="2291"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c r="GK52" s="2"/>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2"/>
      <c r="EQ53" s="1992"/>
      <c r="ER53" s="1992"/>
      <c r="ES53" s="1992"/>
      <c r="ET53" s="1992"/>
      <c r="EU53" s="1992"/>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287"/>
      <c r="FP53" s="2287"/>
      <c r="FQ53" s="2287"/>
      <c r="FR53" s="2287"/>
      <c r="FS53" s="2292"/>
      <c r="FT53" s="2293"/>
      <c r="FU53" s="2285"/>
      <c r="FV53" s="2285"/>
      <c r="FW53" s="2285"/>
      <c r="FX53" s="2285"/>
      <c r="FY53" s="2285"/>
      <c r="FZ53" s="2285"/>
      <c r="GA53" s="2288"/>
      <c r="GB53" s="2290"/>
      <c r="GC53" s="2284"/>
      <c r="GD53" s="208" t="s">
        <v>623</v>
      </c>
      <c r="GE53" s="142" t="s">
        <v>624</v>
      </c>
      <c r="GF53" s="135" t="s">
        <v>626</v>
      </c>
      <c r="GG53" s="135" t="s">
        <v>627</v>
      </c>
      <c r="GH53" s="135" t="s">
        <v>628</v>
      </c>
      <c r="GI53" s="136" t="s">
        <v>629</v>
      </c>
      <c r="GJ53" s="2001"/>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A11:AA11"/>
    <mergeCell ref="A12:A13"/>
    <mergeCell ref="C12:C13"/>
    <mergeCell ref="B12:B13"/>
    <mergeCell ref="J13:K13"/>
    <mergeCell ref="G13:H13"/>
    <mergeCell ref="M12:N12"/>
    <mergeCell ref="S13:T13"/>
    <mergeCell ref="X12:Y12"/>
    <mergeCell ref="AA12:AA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HX12:HX13"/>
    <mergeCell ref="HY12:HY13"/>
    <mergeCell ref="HZ12:HZ13"/>
    <mergeCell ref="IA12:IA13"/>
    <mergeCell ref="IB12:IB13"/>
    <mergeCell ref="IC12:IC13"/>
    <mergeCell ref="ID12:ID13"/>
    <mergeCell ref="IE12:IE13"/>
    <mergeCell ref="IF12:IF13"/>
    <mergeCell ref="IH12:IH13"/>
    <mergeCell ref="II12:II13"/>
    <mergeCell ref="IJ12:IJ13"/>
    <mergeCell ref="IK12:IK13"/>
    <mergeCell ref="IL12:IL13"/>
    <mergeCell ref="JE12:JE13"/>
    <mergeCell ref="JF12:JF13"/>
    <mergeCell ref="JG12:JG13"/>
    <mergeCell ref="JC12:JC13"/>
    <mergeCell ref="JD12:JD13"/>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s>
  <phoneticPr fontId="0" type="noConversion"/>
  <conditionalFormatting sqref="FQ54:FR85">
    <cfRule type="cellIs" dxfId="1216" priority="610" stopIfTrue="1" operator="lessThan">
      <formula>0</formula>
    </cfRule>
  </conditionalFormatting>
  <conditionalFormatting sqref="DI14">
    <cfRule type="expression" dxfId="1215" priority="179">
      <formula>UPPER(#REF!)="X"</formula>
    </cfRule>
  </conditionalFormatting>
  <conditionalFormatting sqref="DJ14">
    <cfRule type="expression" dxfId="1214" priority="612">
      <formula>OR(UPPER(#REF!)="X",UPPER(#REF!="X"))</formula>
    </cfRule>
  </conditionalFormatting>
  <conditionalFormatting sqref="DK14">
    <cfRule type="expression" dxfId="1213" priority="613">
      <formula>OR(UPPER(#REF!)="X",UPPER(#REF!="X"))</formula>
    </cfRule>
  </conditionalFormatting>
  <conditionalFormatting sqref="Q2:T4 AU2:AX4">
    <cfRule type="cellIs" dxfId="1212" priority="615" stopIfTrue="1" operator="equal">
      <formula>""</formula>
    </cfRule>
  </conditionalFormatting>
  <conditionalFormatting sqref="DM54:DM85">
    <cfRule type="cellIs" dxfId="1211" priority="538" stopIfTrue="1" operator="notEqual">
      <formula>DN54</formula>
    </cfRule>
  </conditionalFormatting>
  <conditionalFormatting sqref="DT54:DT85">
    <cfRule type="cellIs" dxfId="1210" priority="537" stopIfTrue="1" operator="notEqual">
      <formula>DU54</formula>
    </cfRule>
  </conditionalFormatting>
  <conditionalFormatting sqref="DA4">
    <cfRule type="expression" dxfId="1209" priority="357" stopIfTrue="1">
      <formula>NOT(ISBLANK($DA$4))</formula>
    </cfRule>
  </conditionalFormatting>
  <conditionalFormatting sqref="M7">
    <cfRule type="expression" dxfId="1208" priority="353" stopIfTrue="1">
      <formula>OR(ISBLANK($M$7),$M$7="")</formula>
    </cfRule>
    <cfRule type="expression" dxfId="1207" priority="354" stopIfTrue="1">
      <formula>NOT(OR(COUNTIF(masterFinishList, $M$7) &gt; 0, COUNTIF($M$7, "Other:*") &gt; 0))</formula>
    </cfRule>
  </conditionalFormatting>
  <conditionalFormatting sqref="A14:B45 A87:B87">
    <cfRule type="expression" dxfId="1206" priority="138" stopIfTrue="1">
      <formula>AND(NOT($BK$1),$B14=0,OR($BJ$1="",$BJ$1="M"))</formula>
    </cfRule>
  </conditionalFormatting>
  <conditionalFormatting sqref="C14:C45">
    <cfRule type="expression" dxfId="1205" priority="165">
      <formula>AND(NOT($BK14),NOT(BR14))</formula>
    </cfRule>
  </conditionalFormatting>
  <conditionalFormatting sqref="U14:U45">
    <cfRule type="expression" dxfId="1204" priority="232">
      <formula>AND(NOT($BK14),BV14="No")</formula>
    </cfRule>
  </conditionalFormatting>
  <conditionalFormatting sqref="V14:V45">
    <cfRule type="expression" dxfId="1203" priority="233">
      <formula>AND(NOT($BK14),BV14="No")</formula>
    </cfRule>
  </conditionalFormatting>
  <conditionalFormatting sqref="S14:S45">
    <cfRule type="expression" dxfId="1202" priority="230">
      <formula>AND(NOT($BK14),BT14="No")</formula>
    </cfRule>
  </conditionalFormatting>
  <conditionalFormatting sqref="T14:T45">
    <cfRule type="expression" dxfId="1201" priority="231">
      <formula>AND(NOT($BK14),BT14="No")</formula>
    </cfRule>
  </conditionalFormatting>
  <conditionalFormatting sqref="W14:W45">
    <cfRule type="expression" dxfId="1200" priority="93">
      <formula>$W14=0</formula>
    </cfRule>
  </conditionalFormatting>
  <conditionalFormatting sqref="DI15:DI45">
    <cfRule type="expression" dxfId="1199" priority="614">
      <formula>FM54="X"</formula>
    </cfRule>
  </conditionalFormatting>
  <conditionalFormatting sqref="DJ15:DJ45">
    <cfRule type="expression" dxfId="1198" priority="1013">
      <formula>FM54="X"</formula>
    </cfRule>
  </conditionalFormatting>
  <conditionalFormatting sqref="DK15:DK45">
    <cfRule type="expression" dxfId="1197" priority="1014">
      <formula>FM54="X"</formula>
    </cfRule>
  </conditionalFormatting>
  <conditionalFormatting sqref="DT14:DU45">
    <cfRule type="expression" dxfId="1196" priority="1015">
      <formula>GD54=0</formula>
    </cfRule>
  </conditionalFormatting>
  <conditionalFormatting sqref="DH14:DH45">
    <cfRule type="expression" dxfId="1195" priority="32">
      <formula>NOT($FQ14)</formula>
    </cfRule>
    <cfRule type="expression" dxfId="1194" priority="1016">
      <formula>FJ54="G"</formula>
    </cfRule>
  </conditionalFormatting>
  <conditionalFormatting sqref="DM14:DN45">
    <cfRule type="expression" dxfId="1193" priority="1018">
      <formula>FIND("B",$GK54)</formula>
    </cfRule>
  </conditionalFormatting>
  <conditionalFormatting sqref="DJ14:DK45">
    <cfRule type="expression" dxfId="1192" priority="1036">
      <formula>FIND("A",$GK54)</formula>
    </cfRule>
  </conditionalFormatting>
  <conditionalFormatting sqref="DL14:DL45">
    <cfRule type="expression" dxfId="1191" priority="3">
      <formula>AND(NOT(ISBLANK($DH14)),ISBLANK($DL14))</formula>
    </cfRule>
    <cfRule type="expression" dxfId="1190" priority="176">
      <formula>FIND("B",$GK54)</formula>
    </cfRule>
  </conditionalFormatting>
  <conditionalFormatting sqref="DI14:DI45">
    <cfRule type="expression" dxfId="1189" priority="1038">
      <formula>NOT($EY14)</formula>
    </cfRule>
  </conditionalFormatting>
  <conditionalFormatting sqref="DQ14:DQ45">
    <cfRule type="expression" dxfId="1188" priority="137">
      <formula>DQ14&lt;&gt;EZ14</formula>
    </cfRule>
  </conditionalFormatting>
  <conditionalFormatting sqref="AD87:AE87 AD14:AE45">
    <cfRule type="expression" dxfId="1187" priority="162">
      <formula>AND(NOT($BZ14),FIND("A",$GK54))</formula>
    </cfRule>
  </conditionalFormatting>
  <conditionalFormatting sqref="AI87:AJ87 AI14:AJ45">
    <cfRule type="expression" dxfId="1186" priority="163">
      <formula>AND(NOT($BZ14),FIND("B",$GK54))</formula>
    </cfRule>
  </conditionalFormatting>
  <conditionalFormatting sqref="AC14:AC45">
    <cfRule type="expression" dxfId="1185" priority="164">
      <formula>AND(NOT($BZ14),NOT($EY14))</formula>
    </cfRule>
  </conditionalFormatting>
  <conditionalFormatting sqref="AM14:AM45">
    <cfRule type="expression" dxfId="1184" priority="144">
      <formula>AND(NOT($BZ14),AM14&lt;&gt;EZ14)</formula>
    </cfRule>
  </conditionalFormatting>
  <conditionalFormatting sqref="FF14:FF45">
    <cfRule type="expression" dxfId="1183" priority="145">
      <formula>$FC14=0</formula>
    </cfRule>
  </conditionalFormatting>
  <conditionalFormatting sqref="AD14:AJ45">
    <cfRule type="expression" dxfId="1182" priority="136">
      <formula>AND(NOT($BZ14),NOT($FA14))</formula>
    </cfRule>
  </conditionalFormatting>
  <conditionalFormatting sqref="DB14:DC45">
    <cfRule type="expression" dxfId="1181" priority="94">
      <formula>AND(NOT($BK14),LEN($Z14)&gt;27)</formula>
    </cfRule>
  </conditionalFormatting>
  <conditionalFormatting sqref="C87">
    <cfRule type="expression" dxfId="1180" priority="86" stopIfTrue="1">
      <formula>AND(NOT($BK87),NOT(BR87))</formula>
    </cfRule>
  </conditionalFormatting>
  <conditionalFormatting sqref="U87">
    <cfRule type="expression" dxfId="1179" priority="90" stopIfTrue="1">
      <formula>AND(NOT($BK87),BV87="No")</formula>
    </cfRule>
  </conditionalFormatting>
  <conditionalFormatting sqref="V87">
    <cfRule type="expression" dxfId="1178" priority="91" stopIfTrue="1">
      <formula>AND(NOT($BK87),BV87="No")</formula>
    </cfRule>
  </conditionalFormatting>
  <conditionalFormatting sqref="S87">
    <cfRule type="expression" dxfId="1177" priority="88" stopIfTrue="1">
      <formula>AND(NOT($BK87),BT87="No")</formula>
    </cfRule>
  </conditionalFormatting>
  <conditionalFormatting sqref="T87">
    <cfRule type="expression" dxfId="1176" priority="89" stopIfTrue="1">
      <formula>AND(NOT($BK87),BT87="No")</formula>
    </cfRule>
  </conditionalFormatting>
  <conditionalFormatting sqref="W87">
    <cfRule type="expression" dxfId="1175" priority="74">
      <formula>$W87=0</formula>
    </cfRule>
  </conditionalFormatting>
  <conditionalFormatting sqref="AR87:AS87 AR14:AS45">
    <cfRule type="expression" dxfId="1174" priority="79">
      <formula>AND(NOT($BZ14),$FF54)</formula>
    </cfRule>
  </conditionalFormatting>
  <conditionalFormatting sqref="AV87:AW87 AV14:AW45">
    <cfRule type="expression" dxfId="1173" priority="80">
      <formula>AND(NOT($BZ14),$FG54)</formula>
    </cfRule>
  </conditionalFormatting>
  <conditionalFormatting sqref="AZ87:BA87 AZ14:BA45">
    <cfRule type="expression" dxfId="1172" priority="81">
      <formula>AND(NOT($BZ14),$FH54)</formula>
    </cfRule>
  </conditionalFormatting>
  <conditionalFormatting sqref="BD87:BE87 BD14:BE45">
    <cfRule type="expression" dxfId="1171" priority="82">
      <formula>AND(NOT($BZ14),$FI54)</formula>
    </cfRule>
  </conditionalFormatting>
  <conditionalFormatting sqref="AC87">
    <cfRule type="expression" dxfId="1170" priority="85">
      <formula>AND(NOT($BZ87),NOT($EY87))</formula>
    </cfRule>
  </conditionalFormatting>
  <conditionalFormatting sqref="AM87">
    <cfRule type="expression" dxfId="1169" priority="78">
      <formula>AND(NOT($BZ87),AM87&lt;&gt;EZ87)</formula>
    </cfRule>
  </conditionalFormatting>
  <conditionalFormatting sqref="AD87:AJ87">
    <cfRule type="expression" dxfId="1168" priority="76">
      <formula>AND(NOT($BZ87),NOT($FA87))</formula>
    </cfRule>
  </conditionalFormatting>
  <conditionalFormatting sqref="AA87 A87:Y87">
    <cfRule type="expression" dxfId="1167" priority="87">
      <formula>$BI87</formula>
    </cfRule>
  </conditionalFormatting>
  <conditionalFormatting sqref="AB87:BG87">
    <cfRule type="expression" dxfId="1166" priority="73">
      <formula>$CA87</formula>
    </cfRule>
  </conditionalFormatting>
  <conditionalFormatting sqref="CD14:CD45">
    <cfRule type="expression" dxfId="1165" priority="35">
      <formula>AND(NOT($BK14),NOT($BR14))</formula>
    </cfRule>
  </conditionalFormatting>
  <conditionalFormatting sqref="DD14:DD45">
    <cfRule type="cellIs" dxfId="1164" priority="48" operator="greaterThan">
      <formula>EY54</formula>
    </cfRule>
    <cfRule type="expression" dxfId="1163" priority="49">
      <formula>AND(ISBLANK(DD14),EY54&gt;0)</formula>
    </cfRule>
  </conditionalFormatting>
  <conditionalFormatting sqref="DE14:DE45">
    <cfRule type="cellIs" dxfId="1162" priority="50" operator="lessThan">
      <formula>EX54</formula>
    </cfRule>
    <cfRule type="expression" dxfId="1161" priority="51">
      <formula>AND(ISBLANK(DE14),EX54&lt;&gt;"")</formula>
    </cfRule>
  </conditionalFormatting>
  <conditionalFormatting sqref="AB14:AO45 DH14:EK45 BF14:BG45">
    <cfRule type="expression" dxfId="1160" priority="1243">
      <formula>$FP14</formula>
    </cfRule>
  </conditionalFormatting>
  <conditionalFormatting sqref="A14:Y45 AA14:AA45 DA14:DE45 CB14:CY45">
    <cfRule type="expression" dxfId="1159" priority="1247">
      <formula>$FN14</formula>
    </cfRule>
  </conditionalFormatting>
  <conditionalFormatting sqref="AB14:AB45">
    <cfRule type="expression" dxfId="1158" priority="31">
      <formula>NOT($FQ14)</formula>
    </cfRule>
  </conditionalFormatting>
  <conditionalFormatting sqref="CB14:CB45">
    <cfRule type="expression" dxfId="1157" priority="4">
      <formula>NOT($FO14)</formula>
    </cfRule>
  </conditionalFormatting>
  <conditionalFormatting sqref="A14:A45">
    <cfRule type="expression" dxfId="1156" priority="29">
      <formula>NOT($FO14)</formula>
    </cfRule>
  </conditionalFormatting>
  <conditionalFormatting sqref="CZ14:CZ45">
    <cfRule type="expression" dxfId="1155" priority="25">
      <formula>$FN14</formula>
    </cfRule>
  </conditionalFormatting>
  <conditionalFormatting sqref="Z87">
    <cfRule type="expression" dxfId="1154" priority="21">
      <formula>$FN87</formula>
    </cfRule>
  </conditionalFormatting>
  <conditionalFormatting sqref="Z87">
    <cfRule type="expression" dxfId="1153" priority="22">
      <formula>AND(NOT($BK87),LEN($Z87)&gt;27)</formula>
    </cfRule>
  </conditionalFormatting>
  <conditionalFormatting sqref="Z14:Z45">
    <cfRule type="expression" dxfId="1152" priority="17">
      <formula>$FN14</formula>
    </cfRule>
  </conditionalFormatting>
  <conditionalFormatting sqref="Z14:Z45">
    <cfRule type="expression" dxfId="1151" priority="18">
      <formula>AND(NOT($BK14),LEN($Z14)&gt;27)</formula>
    </cfRule>
  </conditionalFormatting>
  <conditionalFormatting sqref="AP14:AQ45">
    <cfRule type="expression" dxfId="1150" priority="15">
      <formula>$FP14</formula>
    </cfRule>
  </conditionalFormatting>
  <conditionalFormatting sqref="AR14:BE45">
    <cfRule type="expression" dxfId="1149" priority="9">
      <formula>$FP14</formula>
    </cfRule>
  </conditionalFormatting>
  <conditionalFormatting sqref="CB14:CC45">
    <cfRule type="expression" dxfId="1148" priority="30">
      <formula>AND(NOT($BK$1),$B14=0,OR($BJ$1="",$BJ$1="M"))</formula>
    </cfRule>
  </conditionalFormatting>
  <conditionalFormatting sqref="CJ14:CJ45">
    <cfRule type="expression" dxfId="1147" priority="1776">
      <formula>AND(NOT($BK14),OR($CC54="M",$CC54="C",$CC54="G"))</formula>
    </cfRule>
    <cfRule type="expression" dxfId="1146" priority="1777">
      <formula>AND(NOT($BK14),AND(OR($CC54="B",$CC54="G"),CJ14="",CK14=""))</formula>
    </cfRule>
    <cfRule type="expression" dxfId="1145" priority="1778">
      <formula>AND(NOT($BK14),EG54="ERR")</formula>
    </cfRule>
  </conditionalFormatting>
  <conditionalFormatting sqref="CK14:CK45">
    <cfRule type="expression" dxfId="1144" priority="1779">
      <formula>AND(NOT($BK14),OR($CC54="M",$CC54="C",$CC54="G"))</formula>
    </cfRule>
    <cfRule type="expression" dxfId="1143" priority="1780">
      <formula>AND(NOT($BK14),AND(OR($CC54="B",$CC54="G"),CJ14="",CK14=""))</formula>
    </cfRule>
    <cfRule type="expression" dxfId="1142" priority="1781">
      <formula>AND(NOT($BK14),EG54="ERR")</formula>
    </cfRule>
  </conditionalFormatting>
  <conditionalFormatting sqref="CH14:CH45">
    <cfRule type="expression" dxfId="1141" priority="1790">
      <formula>AND(NOT($BK14),OR($CC54="M",$CC54="C"))</formula>
    </cfRule>
    <cfRule type="expression" dxfId="1140" priority="1791">
      <formula>AND(NOT($BK14),AND(CH14="",CI14="",OR($CC54="B",$CC54="G")))</formula>
    </cfRule>
    <cfRule type="expression" dxfId="1139" priority="1792">
      <formula>AND(NOT($BK14),(CH14/2)/COS(RADIANS(CL14))+CD54-DC54&lt;$FB$4)</formula>
    </cfRule>
  </conditionalFormatting>
  <conditionalFormatting sqref="CI14:CI45">
    <cfRule type="expression" dxfId="1138" priority="1793">
      <formula>AND(NOT($BK14),OR($CC54="M",$CC54="C"))</formula>
    </cfRule>
    <cfRule type="expression" dxfId="1137" priority="1794">
      <formula>AND(NOT($BK14),AND(CH14="",CI14="",OR($CC54="B",$CC54="G")))</formula>
    </cfRule>
    <cfRule type="expression" dxfId="1136" priority="1795">
      <formula>AND(NOT($BK14),(CI14/2)/COS(RADIANS(CL14))+CD54-DC54&lt;$FB$4)</formula>
    </cfRule>
  </conditionalFormatting>
  <conditionalFormatting sqref="CT14:CT45">
    <cfRule type="expression" dxfId="1135" priority="1814">
      <formula>AND(NOT($BK14),OR($CL54="M",$CL54="C",$CL54="G"))</formula>
    </cfRule>
    <cfRule type="expression" dxfId="1134" priority="1815">
      <formula>AND(NOT($BK14),AND(OR($CL54="B",$CL54="G"),CT14="",CU14=""))</formula>
    </cfRule>
    <cfRule type="expression" dxfId="1133" priority="1816">
      <formula>AND(NOT($BK14),EJ54="ERR")</formula>
    </cfRule>
  </conditionalFormatting>
  <conditionalFormatting sqref="CU14:CU45">
    <cfRule type="expression" dxfId="1132" priority="1817">
      <formula>AND(NOT($BK14),OR($CL54="M",$CL54="C",$CL54="G"))</formula>
    </cfRule>
    <cfRule type="expression" dxfId="1131" priority="1818">
      <formula>AND(NOT($BK14),AND(OR($CL54="B",$CL54="G"),CT14="",CU14=""))</formula>
    </cfRule>
    <cfRule type="expression" dxfId="1130" priority="1819">
      <formula>AND(NOT($BK14),EJ54="ERR")</formula>
    </cfRule>
  </conditionalFormatting>
  <conditionalFormatting sqref="CR14:CR45">
    <cfRule type="expression" dxfId="1129" priority="1822">
      <formula>AND(NOT($BK14),OR($CL54="M",$CL54="C"))</formula>
    </cfRule>
    <cfRule type="expression" dxfId="1128" priority="1823">
      <formula>AND(NOT($BK14),AND(CR14="",CS14="",OR($CL54="B",$CL54="G")))</formula>
    </cfRule>
    <cfRule type="expression" dxfId="1127" priority="1824">
      <formula>AND(NOT($BK14),(CR14/2)/COS(RADIANS(CV14))+CM54-DI54&lt;$FB$4)</formula>
    </cfRule>
  </conditionalFormatting>
  <conditionalFormatting sqref="CS14:CS45">
    <cfRule type="expression" dxfId="1126" priority="1825">
      <formula>AND(NOT($BK14),OR($CL54="M",$CL54="C"))</formula>
    </cfRule>
    <cfRule type="expression" dxfId="1125" priority="1826">
      <formula>AND(NOT($BK14),AND(CR14="",CS14="",OR($CL54="B",$CL54="G")))</formula>
    </cfRule>
    <cfRule type="expression" dxfId="1124" priority="1827">
      <formula>AND(NOT($BK14),(CS14/2)/COS(RADIANS(CV14))+CM54-DI54&lt;$FB$4)</formula>
    </cfRule>
  </conditionalFormatting>
  <conditionalFormatting sqref="CW14:CW45 CM14:CM45">
    <cfRule type="expression" dxfId="1123" priority="1849">
      <formula>AND(NOT($BK14),AND(ISBLANK(CM14),AND(NOT(ISBLANK(CL14)),$DA14&lt;&gt;0)))</formula>
    </cfRule>
  </conditionalFormatting>
  <conditionalFormatting sqref="GA48:GB48">
    <cfRule type="expression" dxfId="1122" priority="2" stopIfTrue="1">
      <formula>$GM50&gt;=0.125</formula>
    </cfRule>
  </conditionalFormatting>
  <conditionalFormatting sqref="CO14:CO45">
    <cfRule type="expression" dxfId="1121" priority="1914">
      <formula>ET14&lt;&gt;""</formula>
    </cfRule>
  </conditionalFormatting>
  <conditionalFormatting sqref="CY14:CY45">
    <cfRule type="expression" dxfId="1120" priority="1915">
      <formula>EU14&lt;&gt;""</formula>
    </cfRule>
  </conditionalFormatting>
  <conditionalFormatting sqref="CG14:CG45">
    <cfRule type="expression" dxfId="1119" priority="1916">
      <formula>AND(NOT($BK14),ISERROR(CC54))</formula>
    </cfRule>
    <cfRule type="expression" dxfId="1118" priority="1917">
      <formula>AND(NOT($BK14),OR(ISERROR(CC54),CC54="", ET14&lt;&gt;""))</formula>
    </cfRule>
  </conditionalFormatting>
  <conditionalFormatting sqref="CQ14:CQ45">
    <cfRule type="expression" dxfId="1117" priority="1918">
      <formula>AND(NOT($BK14),ISERROR(CL54))</formula>
    </cfRule>
    <cfRule type="expression" dxfId="1116" priority="1919">
      <formula>AND(NOT($BK14),OR(CL54="", EU14&lt;&gt;""))</formula>
    </cfRule>
  </conditionalFormatting>
  <conditionalFormatting sqref="DC14:DC45">
    <cfRule type="expression" dxfId="1115" priority="1999">
      <formula>OR(EN14&lt;&gt;"",EO14&lt;&gt;"",EP14&lt;&gt;"",EQ14&lt;&gt;"",ER14&lt;&gt;"",ES14&lt;&gt;"",ET14&lt;&gt;"",EU14&lt;&gt;"")</formula>
    </cfRule>
  </conditionalFormatting>
  <conditionalFormatting sqref="B87">
    <cfRule type="expression" dxfId="1114" priority="1">
      <formula>$FN87</formula>
    </cfRule>
  </conditionalFormatting>
  <conditionalFormatting sqref="D14:E45">
    <cfRule type="expression" dxfId="1113" priority="2000" stopIfTrue="1">
      <formula xml:space="preserve"> AND($GM14 &gt;= 0.125, $GL14 &gt; 0)</formula>
    </cfRule>
  </conditionalFormatting>
  <conditionalFormatting sqref="GA14:GB45">
    <cfRule type="expression" dxfId="111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tr">
        <f>IF(ISBLANK(CC15),"",CC15)</f>
        <v/>
      </c>
      <c r="N7" s="2144"/>
      <c r="O7" s="2144"/>
      <c r="P7" s="2144"/>
      <c r="Q7" s="2144"/>
      <c r="R7" s="2144"/>
      <c r="S7" s="214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BB18:CB19"/>
    <mergeCell ref="CD18:CG19"/>
    <mergeCell ref="BJ21:BJ22"/>
    <mergeCell ref="BK21:BL22"/>
    <mergeCell ref="BM21:BM22"/>
    <mergeCell ref="BN21:BN22"/>
    <mergeCell ref="BO21:BO22"/>
    <mergeCell ref="BP21:BR21"/>
    <mergeCell ref="BB20:BF20"/>
    <mergeCell ref="BZ21:BZ22"/>
    <mergeCell ref="CA21:CA22"/>
    <mergeCell ref="CB21:CD21"/>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s>
  <phoneticPr fontId="0" type="noConversion"/>
  <conditionalFormatting sqref="BD23:BD40">
    <cfRule type="expression" dxfId="1111" priority="363">
      <formula>AND(NOT($AY23),NOT($AP23))</formula>
    </cfRule>
  </conditionalFormatting>
  <conditionalFormatting sqref="EF69 EF23:EF40">
    <cfRule type="cellIs" dxfId="1110" priority="677" stopIfTrue="1" operator="notEqual">
      <formula>$EG23</formula>
    </cfRule>
  </conditionalFormatting>
  <conditionalFormatting sqref="EM69 EM23:EM40">
    <cfRule type="cellIs" dxfId="1109" priority="678" stopIfTrue="1" operator="notEqual">
      <formula>$EN23</formula>
    </cfRule>
  </conditionalFormatting>
  <conditionalFormatting sqref="CB69:CC69">
    <cfRule type="cellIs" dxfId="1108" priority="712" stopIfTrue="1" operator="equal">
      <formula>0</formula>
    </cfRule>
    <cfRule type="expression" dxfId="1107" priority="713" stopIfTrue="1">
      <formula>OR(CB69&lt;0,CB69&gt;FU69)</formula>
    </cfRule>
  </conditionalFormatting>
  <conditionalFormatting sqref="P2:S4">
    <cfRule type="cellIs" dxfId="1106" priority="714" stopIfTrue="1" operator="equal">
      <formula>""</formula>
    </cfRule>
  </conditionalFormatting>
  <conditionalFormatting sqref="CC16">
    <cfRule type="expression" dxfId="1105" priority="715" stopIfTrue="1">
      <formula>ISBLANK($CC$16)</formula>
    </cfRule>
  </conditionalFormatting>
  <conditionalFormatting sqref="CC15">
    <cfRule type="expression" dxfId="1104" priority="716" stopIfTrue="1">
      <formula>ISBLANK($CC$15)</formula>
    </cfRule>
  </conditionalFormatting>
  <conditionalFormatting sqref="M7">
    <cfRule type="expression" dxfId="1103" priority="718" stopIfTrue="1">
      <formula>NOT(OR(COUNTIF(masterFinishList, $M$7) &gt; 0, COUNTIF($M$7, "Other:*") &gt; 0))</formula>
    </cfRule>
  </conditionalFormatting>
  <conditionalFormatting sqref="U23:U40">
    <cfRule type="expression" dxfId="1102" priority="327">
      <formula>AND(NOT($AY23),NOT(AR23),$P23&lt;&gt;3)</formula>
    </cfRule>
  </conditionalFormatting>
  <conditionalFormatting sqref="W23:W40">
    <cfRule type="expression" dxfId="1101" priority="335">
      <formula>AND(NOT($AY23),NOT(AT23),$S23&lt;&gt;3)</formula>
    </cfRule>
  </conditionalFormatting>
  <conditionalFormatting sqref="A23:B40">
    <cfRule type="expression" dxfId="1100" priority="36">
      <formula>AND(NOT($AE$1),$B23=0,$AD$1="M")</formula>
    </cfRule>
  </conditionalFormatting>
  <conditionalFormatting sqref="T23:T40">
    <cfRule type="expression" dxfId="1099" priority="324">
      <formula>AND(NOT($AY23),NOT(AR23),$P23&lt;&gt;3)</formula>
    </cfRule>
  </conditionalFormatting>
  <conditionalFormatting sqref="V23:V40">
    <cfRule type="expression" dxfId="1098" priority="332">
      <formula>AND(NOT($AY23),NOT(AT23),$S23&lt;&gt;3)</formula>
    </cfRule>
  </conditionalFormatting>
  <conditionalFormatting sqref="C23:C40">
    <cfRule type="expression" dxfId="1097" priority="106">
      <formula>AND(NOT($AY23),NOT($AP23))</formula>
    </cfRule>
  </conditionalFormatting>
  <conditionalFormatting sqref="M7:S7">
    <cfRule type="expression" dxfId="1096" priority="241">
      <formula>OR(ISBLANK($M$7),$M$7="")</formula>
    </cfRule>
  </conditionalFormatting>
  <conditionalFormatting sqref="X23:X40">
    <cfRule type="expression" dxfId="1095" priority="19">
      <formula>$X23=0</formula>
    </cfRule>
  </conditionalFormatting>
  <conditionalFormatting sqref="BO23:BO40">
    <cfRule type="expression" dxfId="1094" priority="143">
      <formula>AND(BO23="X",CY23="")</formula>
    </cfRule>
    <cfRule type="expression" dxfId="1093" priority="144">
      <formula>AND(BO23="",CY23&lt;&gt;"")</formula>
    </cfRule>
  </conditionalFormatting>
  <conditionalFormatting sqref="CA23:CA40">
    <cfRule type="expression" dxfId="1092" priority="145">
      <formula>AND(CA23="X",DI23="")</formula>
    </cfRule>
    <cfRule type="expression" dxfId="1091" priority="146">
      <formula>AND(CA23="",DI23&lt;&gt;"")</formula>
    </cfRule>
  </conditionalFormatting>
  <conditionalFormatting sqref="BQ23:BQ40">
    <cfRule type="expression" dxfId="1090" priority="126">
      <formula>CP23&lt;&gt;""</formula>
    </cfRule>
  </conditionalFormatting>
  <conditionalFormatting sqref="CC23:CC40">
    <cfRule type="expression" dxfId="1089" priority="125">
      <formula>CQ23&lt;&gt;""</formula>
    </cfRule>
  </conditionalFormatting>
  <conditionalFormatting sqref="CG23:CG40">
    <cfRule type="expression" dxfId="1088" priority="749">
      <formula>OR(CH23&lt;&gt;"",CI23&lt;&gt;"",CJ23&lt;&gt;"",CK23&lt;&gt;"",CL23&lt;&gt;"",CM23&lt;&gt;"",CP23&lt;&gt;"",CQ23&lt;&gt;"")</formula>
    </cfRule>
  </conditionalFormatting>
  <conditionalFormatting sqref="BE23:BF40">
    <cfRule type="expression" dxfId="1087" priority="750">
      <formula>AND(NOT($AY23),AND($AZ23,AND($AK23&lt;&gt;"HDR",$AK23&lt;&gt;"JS",$AJ23&gt;=8)))</formula>
    </cfRule>
  </conditionalFormatting>
  <conditionalFormatting sqref="D23:E40">
    <cfRule type="expression" dxfId="1086" priority="115">
      <formula>AND(NOT($AY23),AND($AZ23,AND($AK23&lt;&gt;"HDR",$AK23&lt;&gt;"JS",$AJ23&gt;=8)))</formula>
    </cfRule>
  </conditionalFormatting>
  <conditionalFormatting sqref="CF23:CG40">
    <cfRule type="expression" dxfId="1085" priority="112">
      <formula>LEN($AA23)&gt;31</formula>
    </cfRule>
  </conditionalFormatting>
  <conditionalFormatting sqref="AA12">
    <cfRule type="expression" dxfId="1084" priority="109">
      <formula>OR(ISBLANK(AA12),AA12="")</formula>
    </cfRule>
  </conditionalFormatting>
  <conditionalFormatting sqref="A23:AA40">
    <cfRule type="expression" dxfId="1083" priority="825">
      <formula>$AC23</formula>
    </cfRule>
  </conditionalFormatting>
  <conditionalFormatting sqref="AA23:AA40">
    <cfRule type="expression" dxfId="1082" priority="20">
      <formula>AND(NOT($AY23),LEN(AA23)&gt;31)</formula>
    </cfRule>
  </conditionalFormatting>
  <conditionalFormatting sqref="GA23:GB40">
    <cfRule type="expression" dxfId="1081" priority="18" stopIfTrue="1">
      <formula>$GM23&gt;=0.125</formula>
    </cfRule>
  </conditionalFormatting>
  <conditionalFormatting sqref="EF43">
    <cfRule type="cellIs" dxfId="1080" priority="12" stopIfTrue="1" operator="notEqual">
      <formula>$EG43</formula>
    </cfRule>
  </conditionalFormatting>
  <conditionalFormatting sqref="U57">
    <cfRule type="expression" dxfId="1079" priority="8">
      <formula>AND(NOT($AY57),NOT(AR57),$P57&lt;&gt;3)</formula>
    </cfRule>
  </conditionalFormatting>
  <conditionalFormatting sqref="W57">
    <cfRule type="expression" dxfId="1078" priority="10">
      <formula>AND(NOT($AY57),NOT(AT57),$S57&lt;&gt;3)</formula>
    </cfRule>
  </conditionalFormatting>
  <conditionalFormatting sqref="A57:B57">
    <cfRule type="expression" dxfId="1077" priority="4">
      <formula>AND(NOT($AE$1),$B57=0,$AD$1="M")</formula>
    </cfRule>
  </conditionalFormatting>
  <conditionalFormatting sqref="T57">
    <cfRule type="expression" dxfId="1076" priority="7">
      <formula>AND(NOT($AY57),NOT(AR57),$P57&lt;&gt;3)</formula>
    </cfRule>
  </conditionalFormatting>
  <conditionalFormatting sqref="V57">
    <cfRule type="expression" dxfId="1075" priority="9">
      <formula>AND(NOT($AY57),NOT(AT57),$S57&lt;&gt;3)</formula>
    </cfRule>
  </conditionalFormatting>
  <conditionalFormatting sqref="C57">
    <cfRule type="expression" dxfId="1074" priority="5">
      <formula>AND(NOT($AY57),NOT($AP57))</formula>
    </cfRule>
  </conditionalFormatting>
  <conditionalFormatting sqref="X57">
    <cfRule type="expression" dxfId="1073" priority="2">
      <formula>$X57=0</formula>
    </cfRule>
  </conditionalFormatting>
  <conditionalFormatting sqref="D57:E57">
    <cfRule type="expression" dxfId="1072" priority="6">
      <formula>AND(NOT($AY57),AND($AZ57,AND($AK57&lt;&gt;"HDR",$AK57&lt;&gt;"JS",$AJ57&gt;=8)))</formula>
    </cfRule>
  </conditionalFormatting>
  <conditionalFormatting sqref="A57:AA57">
    <cfRule type="expression" dxfId="1071" priority="11">
      <formula>$AC57</formula>
    </cfRule>
  </conditionalFormatting>
  <conditionalFormatting sqref="AA57">
    <cfRule type="expression" dxfId="1070" priority="3">
      <formula>AND(NOT($AY57),LEN(AA57)&gt;31)</formula>
    </cfRule>
  </conditionalFormatting>
  <conditionalFormatting sqref="BB23:BC40">
    <cfRule type="expression" dxfId="1069" priority="1251">
      <formula>AND(NOT($AE$1),$B23=0,$AD$1="M")</formula>
    </cfRule>
  </conditionalFormatting>
  <conditionalFormatting sqref="CE23:CG40">
    <cfRule type="expression" dxfId="1068" priority="1284">
      <formula>$AC23</formula>
    </cfRule>
  </conditionalFormatting>
  <conditionalFormatting sqref="BB23:CD40">
    <cfRule type="expression" dxfId="1067" priority="1320">
      <formula>$AC23</formula>
    </cfRule>
  </conditionalFormatting>
  <conditionalFormatting sqref="BS23:BS40">
    <cfRule type="expression" dxfId="1066" priority="1393">
      <formula>AND(NOT($AY23),ISERROR(DE23))</formula>
    </cfRule>
    <cfRule type="expression" dxfId="1065" priority="1394">
      <formula>AND(NOT($AY23),OR(DE23="", CQ23&lt;&gt;""))</formula>
    </cfRule>
  </conditionalFormatting>
  <conditionalFormatting sqref="BG23:BG40">
    <cfRule type="expression" dxfId="1064" priority="1395">
      <formula>AND(NOT($AY23),ISERROR(CU23))</formula>
    </cfRule>
    <cfRule type="expression" dxfId="1063" priority="1396">
      <formula>AND(NOT($AY23),OR(CP23&lt;&gt;"", CU23=""))</formula>
    </cfRule>
  </conditionalFormatting>
  <conditionalFormatting sqref="BH23:BH40">
    <cfRule type="expression" dxfId="1062" priority="1429">
      <formula>AND(NOT($AY23),OR($CU23="M",$CU23="C",AND($CU23="B",$DC23&gt;0)))</formula>
    </cfRule>
    <cfRule type="expression" dxfId="1061" priority="1430">
      <formula>AND(NOT($AY23),AND(BH23="",BI23="",OR($CU23="B",$CU23="G")))</formula>
    </cfRule>
    <cfRule type="expression" dxfId="1060" priority="1431">
      <formula>AND(NOT($AY23),(BH23/2)/COS(RADIANS(BM23))+CV23-DW23&lt;VLOOKUP(AU23,$DF$2:$DJ$9,5,FALSE))</formula>
    </cfRule>
  </conditionalFormatting>
  <conditionalFormatting sqref="BI23:BI40">
    <cfRule type="expression" dxfId="1059" priority="1432">
      <formula>AND(NOT($AY23),OR($CU23="M",$CU23="C",AND($CU23="B",$DC23&gt;0)))</formula>
    </cfRule>
    <cfRule type="expression" dxfId="1058" priority="1433">
      <formula>AND(NOT($AY23),AND(BH23="",BI23="",OR($CU23="B",$CU23="G")))</formula>
    </cfRule>
    <cfRule type="expression" dxfId="1057" priority="1434">
      <formula>AND(NOT($AY23),(BI23/2)/COS(RADIANS(BM23))+CV23-DW23&lt;VLOOKUP(AU23,$DF$2:$DJ$9,5,FALSE))</formula>
    </cfRule>
  </conditionalFormatting>
  <conditionalFormatting sqref="BK23:BK40">
    <cfRule type="expression" dxfId="1056" priority="1435">
      <formula>AND(NOT($AY23),OR($CU23="M",$CU23="C",AND($CU23="B",$DA23&lt;&gt;"")))</formula>
    </cfRule>
    <cfRule type="expression" dxfId="1055" priority="1436">
      <formula>AND(NOT($AY23),AND(BJ23="X",BK23="",BL23=""))</formula>
    </cfRule>
    <cfRule type="expression" dxfId="1054" priority="1437">
      <formula>AND(NOT($AY23),EZ23="ERR")</formula>
    </cfRule>
  </conditionalFormatting>
  <conditionalFormatting sqref="BL23:BL40">
    <cfRule type="expression" dxfId="1053" priority="1438">
      <formula>AND(NOT($AY23),OR($CU23="M",$CU23="C",AND($CU23="B",$DA23&lt;&gt;"")))</formula>
    </cfRule>
    <cfRule type="expression" dxfId="1052" priority="1439">
      <formula>AND(NOT($AY23),AND(BJ23="X",BK23="",BL23=""))</formula>
    </cfRule>
    <cfRule type="expression" dxfId="1051" priority="1440">
      <formula>AND(NOT($AY23),EZ23="ERR")</formula>
    </cfRule>
  </conditionalFormatting>
  <conditionalFormatting sqref="BW23:BW40">
    <cfRule type="expression" dxfId="1050" priority="1441">
      <formula>AND(NOT($AY23),OR($DE23="M",$DE23="C",AND($DE23="B",$DK23&lt;&gt;"")))</formula>
    </cfRule>
    <cfRule type="expression" dxfId="1049" priority="1442">
      <formula>AND(NOT($AY23),AND(BV23="X",BW23="",BX23=""))</formula>
    </cfRule>
    <cfRule type="expression" dxfId="1048" priority="1443">
      <formula>AND(NOT($AY23),FC23="ERR")</formula>
    </cfRule>
  </conditionalFormatting>
  <conditionalFormatting sqref="BX23:BX40">
    <cfRule type="expression" dxfId="1047" priority="1444">
      <formula>AND(NOT($AY23),OR($DE23="M",$DE23="C",AND($DE23="B",$DK23&lt;&gt;"")))</formula>
    </cfRule>
    <cfRule type="expression" dxfId="1046" priority="1445">
      <formula>AND(NOT($AY23),AND(BV23="X",BW23="",BX23=""))</formula>
    </cfRule>
    <cfRule type="expression" dxfId="1045" priority="1446">
      <formula>AND(NOT($AY23),FC23="ERR")</formula>
    </cfRule>
  </conditionalFormatting>
  <conditionalFormatting sqref="BT23:BT40">
    <cfRule type="expression" dxfId="1044" priority="1447">
      <formula>AND(NOT($AY23),OR($DE23="M",$DE23="C",AND($DE23="B",$DM23&gt;0)))</formula>
    </cfRule>
    <cfRule type="expression" dxfId="1043" priority="1448">
      <formula>AND(NOT($AY23),AND(BT23="",BU23="",OR($DE23="B",$DE23="G")))</formula>
    </cfRule>
    <cfRule type="expression" dxfId="1042" priority="1449">
      <formula>AND(NOT($AY23),(BT23/2)/COS(RADIANS(BY23))+DF23-EC23&lt;VLOOKUP(AU23,$DF$2:$DJ$9,5,FALSE))</formula>
    </cfRule>
  </conditionalFormatting>
  <conditionalFormatting sqref="BU23:BU40">
    <cfRule type="expression" dxfId="1041" priority="1450">
      <formula>AND(NOT($AY23),OR($DE23="M",$DE23="C",AND($DE23="B",$DM23&gt;0)))</formula>
    </cfRule>
    <cfRule type="expression" dxfId="1040" priority="1451">
      <formula>AND(NOT($AY23),AND(BT23="",BU23="",OR($DE23="B",$DE23="G")))</formula>
    </cfRule>
    <cfRule type="expression" dxfId="1039" priority="1452">
      <formula>AND(NOT($AY23),(BU23/2)/COS(RADIANS(BY23))+DF23-EC23&lt;VLOOKUP(AU23,$DF$2:$DJ$9,5,FALSE))</formula>
    </cfRule>
  </conditionalFormatting>
  <conditionalFormatting sqref="BZ23:BZ40 BN23:BN40">
    <cfRule type="expression" dxfId="1038" priority="1453">
      <formula>AND(NOT($AY23),AND(ISBLANK(BN23),AND(NOT(ISBLANK(BM23)),$CE23&lt;&gt;0)))</formula>
    </cfRule>
  </conditionalFormatting>
  <conditionalFormatting sqref="BJ23:BJ40">
    <cfRule type="expression" dxfId="1037" priority="1455">
      <formula>AND(NOT($AY23),OR($CU23="C",AND($CU23="M",$DA23&gt;0)))</formula>
    </cfRule>
    <cfRule type="expression" dxfId="1036" priority="1456">
      <formula>AND(NOT($AY23),OR(NOT(IF(AND(OR(MID($BB23,1,1)="T",($BE23+$BF23/12)/IF(ABS($CE23)&gt;$DQ$1,COS($DO23),1)&gt;=40),OR($CU23="B",$CU23="G")),"X","")="X"),$EZ23="ERR"))</formula>
    </cfRule>
    <cfRule type="expression" dxfId="1035" priority="1457">
      <formula>AND(NOT($AY23),$BJ23&lt;&gt;"X",$BJ23&lt;&gt;IF(AND(OR(MID(BB23,1,1)="T",($BE23+$BF23/12)/IF(ABS($CE23)&gt;$DQ$1,COS($DO23),1)&gt;=40),OR($CU23="B",$CU23="G")),"X",""))</formula>
    </cfRule>
  </conditionalFormatting>
  <conditionalFormatting sqref="BV23:BV40">
    <cfRule type="expression" dxfId="1034" priority="1458">
      <formula>AND(NOT($AY23),OR($DE23="C",AND($DE23="M",$DK23&gt;0)))</formula>
    </cfRule>
    <cfRule type="expression" dxfId="1033" priority="1459">
      <formula>AND(NOT($AY23),OR(NOT(IF(AND(OR(MID($BB23,1,1)="T",($BE23+$BF23/12)/IF(ABS($CE23)&gt;$DQ$1,COS($DO23),1)&gt;=40),OR($DE23="B",$DE23="G")),"X","")="X"),$FC23="ERR"))</formula>
    </cfRule>
    <cfRule type="expression" dxfId="1032" priority="1460">
      <formula>AND(NOT($AY23),$BV23&lt;&gt;"X",$BV23&lt;&gt;IF(AND(OR(MID(BB23,1,1)="T",($BE23+$BF23/12)/IF(ABS($CE23)&gt;$DQ$1,COS($DO23),1)&gt;=40),OR($DE23="B",$DE23="G")),"X",""))</formula>
    </cfRule>
  </conditionalFormatting>
  <conditionalFormatting sqref="GA57:GB57">
    <cfRule type="expression" dxfId="1031" priority="1" stopIfTrue="1">
      <formula>$GM57&gt;=0.125</formula>
    </cfRule>
  </conditionalFormatting>
  <conditionalFormatting sqref="D23:E40">
    <cfRule type="expression" dxfId="103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tr">
        <f>IF(ISBLANK(CC6),"",CC6)</f>
        <v/>
      </c>
      <c r="N7" s="2144"/>
      <c r="O7" s="2144"/>
      <c r="P7" s="2144"/>
      <c r="Q7" s="2144"/>
      <c r="R7" s="2144"/>
      <c r="S7" s="214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 ref="ED14:ED15"/>
    <mergeCell ref="DX14:DX15"/>
    <mergeCell ref="DP14:DP15"/>
    <mergeCell ref="DW14:DW15"/>
    <mergeCell ref="DS14:DS15"/>
    <mergeCell ref="DV14:DV15"/>
    <mergeCell ref="DR14:DR15"/>
    <mergeCell ref="DT14:DU14"/>
    <mergeCell ref="DQ14:DQ15"/>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AU13:AU15"/>
    <mergeCell ref="P2:S3"/>
    <mergeCell ref="P4:S4"/>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s>
  <phoneticPr fontId="0" type="noConversion"/>
  <conditionalFormatting sqref="EF57">
    <cfRule type="cellIs" dxfId="1029" priority="650" stopIfTrue="1" operator="notEqual">
      <formula>$EG57</formula>
    </cfRule>
  </conditionalFormatting>
  <conditionalFormatting sqref="EM57">
    <cfRule type="cellIs" dxfId="1028" priority="651" stopIfTrue="1" operator="notEqual">
      <formula>$EN57</formula>
    </cfRule>
  </conditionalFormatting>
  <conditionalFormatting sqref="P2:S4">
    <cfRule type="cellIs" dxfId="1027" priority="760" stopIfTrue="1" operator="equal">
      <formula>""</formula>
    </cfRule>
  </conditionalFormatting>
  <conditionalFormatting sqref="EF16:EF45">
    <cfRule type="cellIs" dxfId="1026" priority="610" stopIfTrue="1" operator="notEqual">
      <formula>$EG16</formula>
    </cfRule>
  </conditionalFormatting>
  <conditionalFormatting sqref="CC7">
    <cfRule type="expression" dxfId="1025" priority="374" stopIfTrue="1">
      <formula>ISBLANK($CC$7)</formula>
    </cfRule>
  </conditionalFormatting>
  <conditionalFormatting sqref="CC6">
    <cfRule type="expression" dxfId="1024" priority="373" stopIfTrue="1">
      <formula>ISBLANK($CC$6)</formula>
    </cfRule>
  </conditionalFormatting>
  <conditionalFormatting sqref="M7">
    <cfRule type="expression" dxfId="1023" priority="371" stopIfTrue="1">
      <formula>OR(ISBLANK($M$7),$M$7="")</formula>
    </cfRule>
    <cfRule type="expression" dxfId="1022" priority="372" stopIfTrue="1">
      <formula>NOT(OR(COUNTIF(masterFinishList, $M$7) &gt; 0, COUNTIF($M$7, "Other:*") &gt; 0))</formula>
    </cfRule>
  </conditionalFormatting>
  <conditionalFormatting sqref="BD16:BD45">
    <cfRule type="expression" dxfId="1021" priority="251">
      <formula>AND(NOT($AY16),NOT($AP16))</formula>
    </cfRule>
  </conditionalFormatting>
  <conditionalFormatting sqref="C16:C45">
    <cfRule type="expression" dxfId="1020" priority="186">
      <formula>AND(NOT($AY16),NOT($AP16))</formula>
    </cfRule>
  </conditionalFormatting>
  <conditionalFormatting sqref="X16:X45">
    <cfRule type="expression" dxfId="1019" priority="53">
      <formula>$X16=0</formula>
    </cfRule>
  </conditionalFormatting>
  <conditionalFormatting sqref="CG16:CG45">
    <cfRule type="expression" dxfId="1018" priority="673">
      <formula>OR(CH16&lt;&gt;"",CI16&lt;&gt;"",CJ16&lt;&gt;"",CK16&lt;&gt;"",CL16&lt;&gt;"",CM16&lt;&gt;"",CP16&lt;&gt;"",CQ16&lt;&gt;"")</formula>
    </cfRule>
  </conditionalFormatting>
  <conditionalFormatting sqref="BE16:BF45">
    <cfRule type="expression" dxfId="1017" priority="985">
      <formula>AND(NOT($AY16),AND($AZ16,AND($AK16&lt;&gt;"HDR",$AK16&lt;&gt;"JS",$AJ16&gt;=8)))</formula>
    </cfRule>
  </conditionalFormatting>
  <conditionalFormatting sqref="D16:E45">
    <cfRule type="expression" dxfId="1016" priority="223">
      <formula>AND(NOT($AY16),AND($AZ16,AND($AK16&lt;&gt;"HDR",$AK16&lt;&gt;"JS",$AJ16&gt;=8)))</formula>
    </cfRule>
    <cfRule type="expression" dxfId="1015" priority="1572" stopIfTrue="1">
      <formula xml:space="preserve"> AND($GM16 &gt;= 0.125, $GL16 &gt; 0)</formula>
    </cfRule>
  </conditionalFormatting>
  <conditionalFormatting sqref="AA12">
    <cfRule type="expression" dxfId="1014" priority="159">
      <formula>OR(ISBLANK(AA12),AA12="")</formula>
    </cfRule>
  </conditionalFormatting>
  <conditionalFormatting sqref="A16:S45 X16:AA45 BB16:CD45">
    <cfRule type="expression" dxfId="1013" priority="1147">
      <formula>$AC16</formula>
    </cfRule>
  </conditionalFormatting>
  <conditionalFormatting sqref="BG16:BG45">
    <cfRule type="expression" dxfId="1012" priority="54">
      <formula>AND(NOT($AY16),ISERROR(CU16))</formula>
    </cfRule>
    <cfRule type="expression" dxfId="1011" priority="92">
      <formula>AND(NOT($AY16),OR(CP16&lt;&gt;"", CU16=""))</formula>
    </cfRule>
  </conditionalFormatting>
  <conditionalFormatting sqref="BH16:BH45">
    <cfRule type="expression" dxfId="1010" priority="80">
      <formula>AND(NOT($AY16),OR($CU16="M",$CU16="C",AND($CU16="B",$DC16&gt;0)))</formula>
    </cfRule>
    <cfRule type="expression" dxfId="1009" priority="81">
      <formula>AND(NOT($AY16),AND(BH16="",BI16="",OR($CU16="B",$CU16="G")))</formula>
    </cfRule>
    <cfRule type="expression" dxfId="1008" priority="82">
      <formula>AND(NOT($AY16),(BH16/2)/COS(RADIANS(BM16))+CV16-DW16&lt;VLOOKUP(AU16,$DF$2:$DJ$9,5,FALSE))</formula>
    </cfRule>
  </conditionalFormatting>
  <conditionalFormatting sqref="BI16:BI45">
    <cfRule type="expression" dxfId="1007" priority="89">
      <formula>AND(NOT($AY16),OR($CU16="M",$CU16="C",AND($CU16="B",$DC16&gt;0)))</formula>
    </cfRule>
    <cfRule type="expression" dxfId="1006" priority="90">
      <formula>AND(NOT($AY16),AND(BH16="",BI16="",OR($CU16="B",$CU16="G")))</formula>
    </cfRule>
    <cfRule type="expression" dxfId="1005" priority="91">
      <formula>AND(NOT($AY16),(BI16/2)/COS(RADIANS(BM16))+CV16-DW16&lt;VLOOKUP(AU16,$DF$2:$DJ$9,5,FALSE))</formula>
    </cfRule>
  </conditionalFormatting>
  <conditionalFormatting sqref="BK16:BK45">
    <cfRule type="expression" dxfId="1004" priority="68">
      <formula>AND(NOT($AY16),OR($CU16="M",$CU16="C",AND($CU16="B",$DA16&lt;&gt;"")))</formula>
    </cfRule>
    <cfRule type="expression" dxfId="1003" priority="69">
      <formula>AND(NOT($AY16),AND(BJ16="X",BK16="",BL16=""))</formula>
    </cfRule>
    <cfRule type="expression" dxfId="1002" priority="70">
      <formula>AND(NOT($AY16),EZ16="ERR")</formula>
    </cfRule>
  </conditionalFormatting>
  <conditionalFormatting sqref="BL16:BL45">
    <cfRule type="expression" dxfId="1001" priority="71">
      <formula>AND(NOT($AY16),OR($CU16="M",$CU16="C",AND($CU16="B",$DA16&lt;&gt;"")))</formula>
    </cfRule>
    <cfRule type="expression" dxfId="1000" priority="72">
      <formula>AND(NOT($AY16),AND(BJ16="X",BK16="",BL16=""))</formula>
    </cfRule>
    <cfRule type="expression" dxfId="999" priority="73">
      <formula>AND(NOT($AY16),EZ16="ERR")</formula>
    </cfRule>
  </conditionalFormatting>
  <conditionalFormatting sqref="A16:B45 BB16:BC45">
    <cfRule type="expression" dxfId="998" priority="105">
      <formula>AND(NOT($AE$1),$B16=0,$AD$1="M")</formula>
    </cfRule>
  </conditionalFormatting>
  <conditionalFormatting sqref="AA16:AA45">
    <cfRule type="expression" dxfId="997" priority="34">
      <formula>AND(NOT($AY16),LEN(AA16)&gt;31)</formula>
    </cfRule>
  </conditionalFormatting>
  <conditionalFormatting sqref="GA16:GB45">
    <cfRule type="expression" dxfId="996" priority="32" stopIfTrue="1">
      <formula>$GM16&gt;=0.125</formula>
    </cfRule>
  </conditionalFormatting>
  <conditionalFormatting sqref="BO16:BO45">
    <cfRule type="expression" dxfId="995" priority="27">
      <formula>AND(BO16="X",CY16="")</formula>
    </cfRule>
    <cfRule type="expression" dxfId="994" priority="28">
      <formula>AND(BO16="",CY16&lt;&gt;"")</formula>
    </cfRule>
  </conditionalFormatting>
  <conditionalFormatting sqref="CA16:CA45">
    <cfRule type="expression" dxfId="993" priority="29">
      <formula>AND(CA16="X",DI16="")</formula>
    </cfRule>
    <cfRule type="expression" dxfId="992" priority="30">
      <formula>AND(CA16="",DI16&lt;&gt;"")</formula>
    </cfRule>
  </conditionalFormatting>
  <conditionalFormatting sqref="CE16:CG45">
    <cfRule type="expression" dxfId="991" priority="31">
      <formula>$AC16</formula>
    </cfRule>
  </conditionalFormatting>
  <conditionalFormatting sqref="EM16:EM45">
    <cfRule type="cellIs" dxfId="990" priority="26" stopIfTrue="1" operator="notEqual">
      <formula>$EN16</formula>
    </cfRule>
  </conditionalFormatting>
  <conditionalFormatting sqref="U16:U45">
    <cfRule type="expression" dxfId="989" priority="22">
      <formula>AND(NOT($AY16),NOT(AR16),$P16&lt;&gt;3)</formula>
    </cfRule>
  </conditionalFormatting>
  <conditionalFormatting sqref="W16:W45">
    <cfRule type="expression" dxfId="988" priority="24">
      <formula>AND(NOT($AY16),NOT(AT16),$S16&lt;&gt;3)</formula>
    </cfRule>
  </conditionalFormatting>
  <conditionalFormatting sqref="T16:T45">
    <cfRule type="expression" dxfId="987" priority="21">
      <formula>AND(NOT($AY16),NOT(AR16),$P16&lt;&gt;3)</formula>
    </cfRule>
  </conditionalFormatting>
  <conditionalFormatting sqref="V16:V45">
    <cfRule type="expression" dxfId="986" priority="23">
      <formula>AND(NOT($AY16),NOT(AT16),$S16&lt;&gt;3)</formula>
    </cfRule>
  </conditionalFormatting>
  <conditionalFormatting sqref="T16:W45">
    <cfRule type="expression" dxfId="985" priority="25">
      <formula>$AC16</formula>
    </cfRule>
  </conditionalFormatting>
  <conditionalFormatting sqref="C57">
    <cfRule type="expression" dxfId="984" priority="13">
      <formula>AND(NOT($AY57),NOT($AP57))</formula>
    </cfRule>
  </conditionalFormatting>
  <conditionalFormatting sqref="X57">
    <cfRule type="expression" dxfId="983" priority="11">
      <formula>$X57=0</formula>
    </cfRule>
  </conditionalFormatting>
  <conditionalFormatting sqref="D57:E57">
    <cfRule type="expression" dxfId="982" priority="14">
      <formula>AND(NOT($AY57),AND($AZ57,AND($AK57&lt;&gt;"HDR",$AK57&lt;&gt;"JS",$AJ57&gt;=8)))</formula>
    </cfRule>
  </conditionalFormatting>
  <conditionalFormatting sqref="A57:S57 X57:AA57">
    <cfRule type="expression" dxfId="981" priority="15">
      <formula>$AC57</formula>
    </cfRule>
  </conditionalFormatting>
  <conditionalFormatting sqref="A57:B57">
    <cfRule type="expression" dxfId="980" priority="12">
      <formula>AND(NOT($AE$1),$B57=0,$AD$1="M")</formula>
    </cfRule>
  </conditionalFormatting>
  <conditionalFormatting sqref="AA57">
    <cfRule type="expression" dxfId="979" priority="10">
      <formula>AND(NOT($AY57),LEN(AA57)&gt;31)</formula>
    </cfRule>
  </conditionalFormatting>
  <conditionalFormatting sqref="U57">
    <cfRule type="expression" dxfId="978" priority="6">
      <formula>AND(NOT($AY57),NOT(AR57),$P57&lt;&gt;3)</formula>
    </cfRule>
  </conditionalFormatting>
  <conditionalFormatting sqref="W57">
    <cfRule type="expression" dxfId="977" priority="8">
      <formula>AND(NOT($AY57),NOT(AT57),$S57&lt;&gt;3)</formula>
    </cfRule>
  </conditionalFormatting>
  <conditionalFormatting sqref="T57">
    <cfRule type="expression" dxfId="976" priority="5">
      <formula>AND(NOT($AY57),NOT(AR57),$P57&lt;&gt;3)</formula>
    </cfRule>
  </conditionalFormatting>
  <conditionalFormatting sqref="V57">
    <cfRule type="expression" dxfId="975" priority="7">
      <formula>AND(NOT($AY57),NOT(AT57),$S57&lt;&gt;3)</formula>
    </cfRule>
  </conditionalFormatting>
  <conditionalFormatting sqref="T57:W57">
    <cfRule type="expression" dxfId="974" priority="9">
      <formula>$AC57</formula>
    </cfRule>
  </conditionalFormatting>
  <conditionalFormatting sqref="BQ16:BQ45">
    <cfRule type="expression" dxfId="973" priority="3">
      <formula>CP16&lt;&gt;""</formula>
    </cfRule>
  </conditionalFormatting>
  <conditionalFormatting sqref="CC16:CC45">
    <cfRule type="expression" dxfId="972" priority="2">
      <formula>CQ16&lt;&gt;""</formula>
    </cfRule>
  </conditionalFormatting>
  <conditionalFormatting sqref="BS16:BS45">
    <cfRule type="expression" dxfId="971" priority="1466">
      <formula>AND(NOT($AY16),ISERROR(DE16))</formula>
    </cfRule>
    <cfRule type="expression" dxfId="970" priority="1467">
      <formula>AND(NOT($AY16),OR(DE16="", CQ16&lt;&gt;""))</formula>
    </cfRule>
  </conditionalFormatting>
  <conditionalFormatting sqref="BW16:BW45">
    <cfRule type="expression" dxfId="969" priority="1518">
      <formula>AND(NOT($AY16),OR($DE16="M",$DE16="C",AND($DE16="B",$DK16&lt;&gt;"")))</formula>
    </cfRule>
    <cfRule type="expression" dxfId="968" priority="1519">
      <formula>AND(NOT($AY16),AND(BV16="X",BW16="",BX16=""))</formula>
    </cfRule>
    <cfRule type="expression" dxfId="967" priority="1520">
      <formula>AND(NOT($AY16),FC16="ERR")</formula>
    </cfRule>
  </conditionalFormatting>
  <conditionalFormatting sqref="BX16:BX45">
    <cfRule type="expression" dxfId="966" priority="1521">
      <formula>AND(NOT($AY16),OR($DE16="M",$DE16="C",AND($DE16="B",$DK16&lt;&gt;"")))</formula>
    </cfRule>
    <cfRule type="expression" dxfId="965" priority="1522">
      <formula>AND(NOT($AY16),AND(BV16="X",BW16="",BX16=""))</formula>
    </cfRule>
    <cfRule type="expression" dxfId="964" priority="1523">
      <formula>AND(NOT($AY16),FC16="ERR")</formula>
    </cfRule>
  </conditionalFormatting>
  <conditionalFormatting sqref="BT16:BT45">
    <cfRule type="expression" dxfId="963" priority="1524">
      <formula>AND(NOT($AY16),OR($DE16="M",$DE16="C",AND($DE16="B",$DM16&gt;0)))</formula>
    </cfRule>
    <cfRule type="expression" dxfId="962" priority="1525">
      <formula>AND(NOT($AY16),AND(BT16="",BU16="",OR($DE16="B",$DE16="G")))</formula>
    </cfRule>
    <cfRule type="expression" dxfId="961" priority="1526">
      <formula>AND(NOT($AY16),(BT16/2)/COS(RADIANS(BY16))+DF16-EC16&lt;VLOOKUP(AU16,$DF$2:$DJ$9,5,FALSE))</formula>
    </cfRule>
  </conditionalFormatting>
  <conditionalFormatting sqref="BU16:BU45">
    <cfRule type="expression" dxfId="960" priority="1527">
      <formula>AND(NOT($AY16),OR($DE16="M",$DE16="C",AND($DE16="B",$DM16&gt;0)))</formula>
    </cfRule>
    <cfRule type="expression" dxfId="959" priority="1528">
      <formula>AND(NOT($AY16),AND(BT16="",BU16="",OR($DE16="B",$DE16="G")))</formula>
    </cfRule>
    <cfRule type="expression" dxfId="958" priority="1529">
      <formula>AND(NOT($AY16),(BU16/2)/COS(RADIANS(BY16))+DF16-EC16&lt;VLOOKUP(AU16,$DF$2:$DJ$9,5,FALSE))</formula>
    </cfRule>
  </conditionalFormatting>
  <conditionalFormatting sqref="BZ16:BZ45 BN16:BN45">
    <cfRule type="expression" dxfId="957" priority="1550">
      <formula>AND(NOT($AY16),AND(ISBLANK(BN16),AND(NOT(ISBLANK(BM16)),$CE16&lt;&gt;0)))</formula>
    </cfRule>
  </conditionalFormatting>
  <conditionalFormatting sqref="BJ16:BJ45">
    <cfRule type="expression" dxfId="956" priority="1554">
      <formula>AND(NOT($AY16),OR($CU16="C",AND($CU16="M",$DA16&gt;0)))</formula>
    </cfRule>
    <cfRule type="expression" dxfId="955" priority="1555">
      <formula>AND(NOT($AY16),OR(NOT(IF(AND(OR(MID($BB16,1,1)="T",($BE16+$BF16/12)/IF(ABS($CE16)&gt;$DQ$1,COS($DO16),1)&gt;=40),OR($CU16="B",$CU16="G")),"X","")="X"),$EZ16="ERR"))</formula>
    </cfRule>
    <cfRule type="expression" dxfId="954" priority="1556">
      <formula>AND(NOT($AY16),$BJ16&lt;&gt;"X",$BJ16&lt;&gt;IF(AND(OR(MID(BB16,1,1)="T",($BE16+$BF16/12)/IF(ABS($CE16)&gt;$DQ$1,COS($DO16),1)&gt;=40),OR($CU16="B",$CU16="G")),"X",""))</formula>
    </cfRule>
  </conditionalFormatting>
  <conditionalFormatting sqref="BV16:BV45">
    <cfRule type="expression" dxfId="953" priority="1569">
      <formula>AND(NOT($AY16),OR($DE16="C",AND($DE16="M",$DK16&gt;0)))</formula>
    </cfRule>
    <cfRule type="expression" dxfId="952" priority="1570">
      <formula>AND(NOT($AY16),OR(NOT(IF(AND(OR(MID($BB16,1,1)="T",($BE16+$BF16/12)/IF(ABS($CE16)&gt;$DQ$1,COS($DO16),1)&gt;=40),OR($DE16="B",$DE16="G")),"X","")="X"),$FC16="ERR"))</formula>
    </cfRule>
    <cfRule type="expression" dxfId="951" priority="1571">
      <formula>AND(NOT($AY16),$BV16&lt;&gt;"X",$BV16&lt;&gt;IF(AND(OR(MID(BB16,1,1)="T",($BE16+$BF16/12)/IF(ABS($CE16)&gt;$DQ$1,COS($DO16),1)&gt;=40),OR($DE16="B",$DE16="G")),"X",""))</formula>
    </cfRule>
  </conditionalFormatting>
  <conditionalFormatting sqref="GA57:GB57">
    <cfRule type="expression" dxfId="95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949" priority="69" stopIfTrue="1" operator="equal">
      <formula>""</formula>
    </cfRule>
  </conditionalFormatting>
  <conditionalFormatting sqref="G7">
    <cfRule type="cellIs" dxfId="948" priority="70" stopIfTrue="1" operator="equal">
      <formula>"NO PAINT"</formula>
    </cfRule>
  </conditionalFormatting>
  <conditionalFormatting sqref="I7:K7">
    <cfRule type="expression" dxfId="947" priority="71" stopIfTrue="1">
      <formula>NOT(OR(COUNTIF(masterFinishList, $I$7) &gt; 0, COUNTIF($I$7, "Other:*") &gt; 0))</formula>
    </cfRule>
  </conditionalFormatting>
  <conditionalFormatting sqref="C27:C42 A27:A42">
    <cfRule type="expression" dxfId="946" priority="8">
      <formula>AND(NOT($S$1),$C27=0,OR($R$1="",$R$1="M"))</formula>
    </cfRule>
  </conditionalFormatting>
  <conditionalFormatting sqref="F27:F42">
    <cfRule type="expression" dxfId="945" priority="35">
      <formula>OR(ISERROR(VLOOKUP(E27,$V$27:$V$42,1,FALSE)),ISERROR(VLOOKUP(F27,$AB$27:$AB$42,1,FALSE)))</formula>
    </cfRule>
  </conditionalFormatting>
  <conditionalFormatting sqref="D27:D42">
    <cfRule type="expression" dxfId="944" priority="12">
      <formula>OR(ISERROR(VLOOKUP(TRIM(D27),$AE$27:$AE$300,1,FALSE)),AND(NOT(ISERROR(VLOOKUP(E27,$V$27:$V$300,1,FALSE))),NOT(ISERROR(VLOOKUP(TRIM(D27),$U$27:$U$300,1,FALSE)))))</formula>
    </cfRule>
  </conditionalFormatting>
  <conditionalFormatting sqref="E27:E42">
    <cfRule type="expression" dxfId="943" priority="15">
      <formula>OR(ISERROR(VLOOKUP(E27,$W$27:$W$42,1,FALSE)),AND(NOT(ISERROR(VLOOKUP(E27,$V$27:$V$300,1,FALSE))),NOT(ISERROR(VLOOKUP(D27,$U$27:$U$300,1,FALSE)))))</formula>
    </cfRule>
  </conditionalFormatting>
  <conditionalFormatting sqref="I7:L7">
    <cfRule type="cellIs" dxfId="942" priority="9" operator="equal">
      <formula>0</formula>
    </cfRule>
  </conditionalFormatting>
  <conditionalFormatting sqref="A27:P42">
    <cfRule type="expression" dxfId="941" priority="38">
      <formula>$Q27</formula>
    </cfRule>
  </conditionalFormatting>
  <conditionalFormatting sqref="A36:A42">
    <cfRule type="expression" dxfId="940" priority="5">
      <formula>AND(NOT($S$1),$C36=0,OR($R$1="",$R$1="M"))</formula>
    </cfRule>
  </conditionalFormatting>
  <conditionalFormatting sqref="G27:G42">
    <cfRule type="expression" dxfId="939" priority="4">
      <formula>NOT(VLOOKUP($E27,$W$27:$AA$42,2,FALSE))</formula>
    </cfRule>
  </conditionalFormatting>
  <conditionalFormatting sqref="I27:I42">
    <cfRule type="expression" dxfId="938" priority="3">
      <formula>NOT(VLOOKUP($E27,$W$27:$AA$42,4,FALSE))</formula>
    </cfRule>
  </conditionalFormatting>
  <conditionalFormatting sqref="H27">
    <cfRule type="expression" dxfId="937" priority="2">
      <formula>NOT(VLOOKUP($E27,$W$27:$AA$42,3,FALSE))</formula>
    </cfRule>
  </conditionalFormatting>
  <conditionalFormatting sqref="J27:J42">
    <cfRule type="expression" dxfId="93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3" t="s">
        <v>621</v>
      </c>
      <c r="HB11" s="2534"/>
      <c r="HC11" s="2534"/>
      <c r="HD11" s="2534"/>
      <c r="HE11" s="2534"/>
      <c r="HF11" s="2534"/>
      <c r="HG11" s="2534"/>
      <c r="HH11" s="2534"/>
      <c r="HI11" s="2534"/>
      <c r="HJ11" s="2534"/>
      <c r="HK11" s="2534"/>
      <c r="HL11" s="2534"/>
      <c r="HM11" s="2534"/>
      <c r="HN11" s="2534"/>
      <c r="HO11" s="2534"/>
      <c r="HP11" s="2535"/>
    </row>
    <row r="12" spans="1:226" ht="12.6" customHeight="1" thickTop="1" thickBot="1" x14ac:dyDescent="0.25">
      <c r="A12" s="2513" t="s">
        <v>40</v>
      </c>
      <c r="B12" s="2514"/>
      <c r="C12" s="1950" t="s">
        <v>130</v>
      </c>
      <c r="D12" s="1951" t="s">
        <v>673</v>
      </c>
      <c r="E12" s="1949" t="s">
        <v>674</v>
      </c>
      <c r="F12" s="2528" t="s">
        <v>36</v>
      </c>
      <c r="G12" s="1949" t="s">
        <v>79</v>
      </c>
      <c r="H12" s="2528"/>
      <c r="I12" s="2530" t="s">
        <v>675</v>
      </c>
      <c r="J12" s="1951"/>
      <c r="K12" s="1949" t="s">
        <v>107</v>
      </c>
      <c r="L12" s="2531"/>
      <c r="M12" s="2530" t="s">
        <v>108</v>
      </c>
      <c r="N12" s="1950" t="s">
        <v>109</v>
      </c>
      <c r="O12" s="1951" t="s">
        <v>110</v>
      </c>
      <c r="P12" s="1059" t="s">
        <v>676</v>
      </c>
      <c r="Q12" s="1407"/>
      <c r="GZ12" s="245"/>
      <c r="HA12" s="2522" t="s">
        <v>632</v>
      </c>
      <c r="HB12" s="2524" t="s">
        <v>1148</v>
      </c>
      <c r="HC12" s="2524" t="s">
        <v>1134</v>
      </c>
      <c r="HD12" s="2519" t="s">
        <v>1144</v>
      </c>
      <c r="HE12" s="2519" t="s">
        <v>660</v>
      </c>
      <c r="HF12" s="2509" t="s">
        <v>677</v>
      </c>
      <c r="HG12" s="2509" t="s">
        <v>1149</v>
      </c>
      <c r="HH12" s="2509" t="s">
        <v>1150</v>
      </c>
      <c r="HI12" s="2509" t="s">
        <v>1151</v>
      </c>
      <c r="HJ12" s="2509" t="s">
        <v>1152</v>
      </c>
      <c r="HK12" s="2509" t="s">
        <v>1153</v>
      </c>
      <c r="HL12" s="2509" t="s">
        <v>1154</v>
      </c>
      <c r="HM12" s="2509" t="s">
        <v>1145</v>
      </c>
      <c r="HN12" s="2519" t="s">
        <v>1146</v>
      </c>
      <c r="HO12" s="2519" t="s">
        <v>1147</v>
      </c>
      <c r="HP12" s="2526" t="s">
        <v>480</v>
      </c>
    </row>
    <row r="13" spans="1:226" ht="12.6" customHeight="1" thickTop="1" thickBot="1" x14ac:dyDescent="0.25">
      <c r="A13" s="2504"/>
      <c r="B13" s="2496"/>
      <c r="C13" s="1950"/>
      <c r="D13" s="1951"/>
      <c r="E13" s="1949"/>
      <c r="F13" s="2529"/>
      <c r="G13" s="1404" t="s">
        <v>632</v>
      </c>
      <c r="H13" s="1063" t="s">
        <v>171</v>
      </c>
      <c r="I13" s="1062" t="s">
        <v>632</v>
      </c>
      <c r="J13" s="1405" t="s">
        <v>171</v>
      </c>
      <c r="K13" s="2532"/>
      <c r="L13" s="2531"/>
      <c r="M13" s="1955"/>
      <c r="N13" s="1920"/>
      <c r="O13" s="1921"/>
      <c r="P13" s="1060" t="s">
        <v>57</v>
      </c>
      <c r="Q13" s="1408" t="s">
        <v>1101</v>
      </c>
      <c r="R13" s="372" t="s">
        <v>170</v>
      </c>
      <c r="S13" s="372" t="s">
        <v>788</v>
      </c>
      <c r="T13" s="372" t="s">
        <v>1136</v>
      </c>
      <c r="GZ13" s="245"/>
      <c r="HA13" s="2523"/>
      <c r="HB13" s="2525"/>
      <c r="HC13" s="2525"/>
      <c r="HD13" s="2520"/>
      <c r="HE13" s="2520"/>
      <c r="HF13" s="2510"/>
      <c r="HG13" s="2510"/>
      <c r="HH13" s="2510"/>
      <c r="HI13" s="2510"/>
      <c r="HJ13" s="2510"/>
      <c r="HK13" s="2510"/>
      <c r="HL13" s="2510"/>
      <c r="HM13" s="2510"/>
      <c r="HN13" s="2520"/>
      <c r="HO13" s="2520"/>
      <c r="HP13" s="2527"/>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493" t="s">
        <v>797</v>
      </c>
      <c r="W25" s="426">
        <f>COUNTA(W27:W300)</f>
        <v>9</v>
      </c>
      <c r="X25" s="2491" t="s">
        <v>946</v>
      </c>
      <c r="Y25" s="2492"/>
      <c r="Z25" s="2492"/>
      <c r="AA25" s="2492"/>
      <c r="AB25" s="426"/>
      <c r="AC25" s="2518" t="s">
        <v>1137</v>
      </c>
      <c r="AD25" s="1898"/>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935" priority="5">
      <formula>AND(NOT($S$1),$C14=0,OR($R$1="",$R$1="M"))</formula>
    </cfRule>
  </conditionalFormatting>
  <conditionalFormatting sqref="J2:L4">
    <cfRule type="cellIs" dxfId="934" priority="25" stopIfTrue="1" operator="equal">
      <formula>""</formula>
    </cfRule>
  </conditionalFormatting>
  <conditionalFormatting sqref="G7">
    <cfRule type="cellIs" dxfId="933" priority="26" stopIfTrue="1" operator="equal">
      <formula>"NO PAINT"</formula>
    </cfRule>
  </conditionalFormatting>
  <conditionalFormatting sqref="I7:K7">
    <cfRule type="expression" dxfId="932" priority="27" stopIfTrue="1">
      <formula>NOT(OR(COUNTIF(masterFinishList, $I$7) &gt; 0, COUNTIF($I$7, "Other:*") &gt; 0))</formula>
    </cfRule>
  </conditionalFormatting>
  <conditionalFormatting sqref="F14:F42">
    <cfRule type="expression" dxfId="931" priority="21">
      <formula>OR(ISERROR(VLOOKUP(E14,$V$27:$V$42,1,FALSE)),ISERROR(VLOOKUP(F14,$AB$27:$AB$42,1,FALSE)))</formula>
    </cfRule>
  </conditionalFormatting>
  <conditionalFormatting sqref="D14:D42">
    <cfRule type="expression" dxfId="930" priority="9">
      <formula>OR(ISERROR(VLOOKUP(TRIM(D14),$AE$27:$AE$300,1,FALSE)),AND(NOT(ISERROR(VLOOKUP(E14,$V$27:$V$300,1,FALSE))),NOT(ISERROR(VLOOKUP(TRIM(D14),$U$27:$U$300,1,FALSE)))))</formula>
    </cfRule>
  </conditionalFormatting>
  <conditionalFormatting sqref="E14:E42">
    <cfRule type="expression" dxfId="929" priority="13">
      <formula>OR(ISERROR(VLOOKUP(E14,$W$27:$W$42,1,FALSE)),AND(NOT(ISERROR(VLOOKUP(E14,$V$27:$V$300,1,FALSE))),NOT(ISERROR(VLOOKUP(D14,$U$27:$U$300,1,FALSE)))))</formula>
    </cfRule>
  </conditionalFormatting>
  <conditionalFormatting sqref="I7:L7">
    <cfRule type="cellIs" dxfId="928" priority="6" operator="equal">
      <formula>0</formula>
    </cfRule>
  </conditionalFormatting>
  <conditionalFormatting sqref="A14:P42">
    <cfRule type="expression" dxfId="927" priority="42">
      <formula>$Q14</formula>
    </cfRule>
  </conditionalFormatting>
  <conditionalFormatting sqref="G14:G42">
    <cfRule type="expression" dxfId="926" priority="4">
      <formula>NOT(VLOOKUP($E14,$W$27:$AA$42,2,FALSE))</formula>
    </cfRule>
  </conditionalFormatting>
  <conditionalFormatting sqref="H14">
    <cfRule type="expression" dxfId="925" priority="3">
      <formula>NOT(VLOOKUP($E14,$W$27:$AA$42,3,FALSE))</formula>
    </cfRule>
  </conditionalFormatting>
  <conditionalFormatting sqref="I14:I42">
    <cfRule type="expression" dxfId="924" priority="2">
      <formula>NOT(VLOOKUP($E14,$W$27:$AA$42,4,FALSE))</formula>
    </cfRule>
  </conditionalFormatting>
  <conditionalFormatting sqref="J14:J42">
    <cfRule type="expression" dxfId="92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593" t="str">
        <f>IF(ISBLANK(AL1),"",VLOOKUP(AL1,'Job Info.'!X:AA,4,FALSE))</f>
        <v>Master</v>
      </c>
      <c r="O1" s="2593"/>
      <c r="P1" s="2593"/>
      <c r="Q1" s="1986"/>
      <c r="R1" s="1986"/>
      <c r="S1"/>
      <c r="T1"/>
      <c r="U1" s="47" t="s">
        <v>95</v>
      </c>
      <c r="V1"/>
      <c r="W1" s="38"/>
      <c r="X1" s="2560" t="str">
        <f ca="1">'Job Info.'!D12</f>
        <v>775-428-0600</v>
      </c>
      <c r="Y1" s="2560"/>
      <c r="Z1" s="2560"/>
      <c r="AA1" s="2560"/>
      <c r="AB1" s="2560"/>
      <c r="AC1" s="48"/>
      <c r="AD1" s="48"/>
      <c r="AE1" s="48"/>
      <c r="AF1" s="48"/>
      <c r="AG1" s="48"/>
      <c r="AH1" s="48"/>
      <c r="AI1" s="48"/>
      <c r="AJ1" s="48"/>
      <c r="AK1" s="81" t="s">
        <v>64</v>
      </c>
      <c r="AL1" s="49" t="str">
        <f>'Job Info.'!Q30</f>
        <v>M</v>
      </c>
      <c r="AM1" s="49" t="b">
        <f>'Job Info.'!Q32</f>
        <v>0</v>
      </c>
      <c r="AN1" s="49" t="s">
        <v>424</v>
      </c>
      <c r="AQ1" s="2608" t="s">
        <v>444</v>
      </c>
      <c r="AR1" s="2609"/>
      <c r="AS1" s="2609"/>
      <c r="AT1" s="2609"/>
      <c r="AU1" s="2609"/>
      <c r="AV1" s="2609"/>
      <c r="AW1" s="2609" t="s">
        <v>445</v>
      </c>
      <c r="AX1" s="2609"/>
      <c r="AY1" s="2609"/>
      <c r="AZ1" s="2609"/>
      <c r="BA1" s="2609"/>
      <c r="BB1" s="2610"/>
      <c r="BC1" s="80" t="s">
        <v>65</v>
      </c>
    </row>
    <row r="2" spans="1:55" ht="15" customHeight="1" thickTop="1" thickBot="1" x14ac:dyDescent="0.25">
      <c r="A2"/>
      <c r="B2"/>
      <c r="C2"/>
      <c r="D2"/>
      <c r="E2"/>
      <c r="F2" s="39"/>
      <c r="G2"/>
      <c r="H2"/>
      <c r="I2"/>
      <c r="J2"/>
      <c r="K2" s="38"/>
      <c r="L2"/>
      <c r="M2"/>
      <c r="N2" s="2582" t="str">
        <f>IF(ISBLANK(AL1),"",IF(VLOOKUP(AL1,'Job Info.'!$X:$Z,2,FALSE),"Released for Fabrication",""))</f>
        <v/>
      </c>
      <c r="O2" s="2583"/>
      <c r="P2" s="2583"/>
      <c r="Q2" s="2584"/>
      <c r="R2" s="2585"/>
      <c r="S2"/>
      <c r="T2"/>
      <c r="U2" s="47" t="s">
        <v>96</v>
      </c>
      <c r="V2"/>
      <c r="W2" s="38"/>
      <c r="X2" s="2560" t="str">
        <f ca="1">'Job Info.'!D13</f>
        <v>775-867-2140</v>
      </c>
      <c r="Y2" s="2560"/>
      <c r="Z2" s="2560"/>
      <c r="AA2" s="2560"/>
      <c r="AB2" s="2560"/>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86"/>
      <c r="O3" s="2587"/>
      <c r="P3" s="2587"/>
      <c r="Q3" s="1883"/>
      <c r="R3" s="2588"/>
      <c r="S3"/>
      <c r="T3"/>
      <c r="U3" s="47" t="s">
        <v>98</v>
      </c>
      <c r="V3"/>
      <c r="W3" s="38"/>
      <c r="X3" s="2560" t="str">
        <f ca="1">'Job Info.'!D14</f>
        <v>775-867-2169</v>
      </c>
      <c r="Y3" s="2560"/>
      <c r="Z3" s="2560"/>
      <c r="AA3" s="2560"/>
      <c r="AB3" s="2560"/>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589" t="str">
        <f>IF(ISBLANK(AL1),"",IF(VLOOKUP(AL1,'Job Info.'!$X:$Z,2,FALSE),VLOOKUP(AL1,'Job Info.'!$X:$Z,3,FALSE),""))</f>
        <v/>
      </c>
      <c r="O4" s="2590"/>
      <c r="P4" s="2590"/>
      <c r="Q4" s="2591"/>
      <c r="R4" s="2592"/>
      <c r="S4"/>
      <c r="T4"/>
      <c r="U4" s="47" t="s">
        <v>97</v>
      </c>
      <c r="V4"/>
      <c r="W4" s="38"/>
      <c r="X4" s="2560" t="str">
        <f ca="1">'Job Info.'!D15</f>
        <v>775-867-2060</v>
      </c>
      <c r="Y4" s="2560"/>
      <c r="Z4" s="2560"/>
      <c r="AA4" s="2560"/>
      <c r="AB4" s="2560"/>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18" t="str">
        <f ca="1">'Job Info.'!D11</f>
        <v>8200 Woolery Way | Fallon, NV 89406 | www.newmill.com</v>
      </c>
      <c r="B5" s="1818"/>
      <c r="C5" s="1818"/>
      <c r="D5" s="1818"/>
      <c r="E5" s="1818"/>
      <c r="F5" s="1818"/>
      <c r="G5" s="1818"/>
      <c r="H5" s="1818"/>
      <c r="I5" s="1818"/>
      <c r="J5" s="1818"/>
      <c r="K5" s="1818"/>
      <c r="L5" s="1818"/>
      <c r="M5" s="1818"/>
      <c r="N5" s="1818"/>
      <c r="O5" s="1818"/>
      <c r="P5"/>
      <c r="Q5"/>
      <c r="R5" s="39"/>
      <c r="S5"/>
      <c r="T5"/>
      <c r="U5"/>
      <c r="V5"/>
      <c r="W5"/>
      <c r="X5" s="460" t="s">
        <v>421</v>
      </c>
      <c r="Y5" s="2574">
        <v>45048.61509259259</v>
      </c>
      <c r="Z5" s="2575"/>
      <c r="AA5" s="2575"/>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76"/>
      <c r="Z6" s="2577"/>
      <c r="AA6" s="2577"/>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594" t="s">
        <v>424</v>
      </c>
      <c r="M7" s="2595"/>
      <c r="N7" s="2595"/>
      <c r="O7" s="2595"/>
      <c r="P7" s="2595"/>
      <c r="Q7" s="2595"/>
      <c r="R7" s="2595"/>
      <c r="S7"/>
      <c r="T7"/>
      <c r="U7"/>
      <c r="V7"/>
      <c r="W7"/>
      <c r="X7" s="555" t="s">
        <v>425</v>
      </c>
      <c r="Y7" s="2578"/>
      <c r="Z7" s="2579"/>
      <c r="AA7" s="2579"/>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80"/>
      <c r="Z8" s="2581"/>
      <c r="AA8" s="2581"/>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893" t="s">
        <v>1</v>
      </c>
      <c r="B9" s="2598"/>
      <c r="C9" s="2598"/>
      <c r="D9" s="2596" t="str">
        <f>IF(ISBLANK('Job Info.'!D3),"",'Job Info.'!D3)</f>
        <v>MINDEN UPS BLDG 1</v>
      </c>
      <c r="E9" s="2596"/>
      <c r="F9" s="2596"/>
      <c r="G9" s="2596"/>
      <c r="H9" s="2596"/>
      <c r="I9" s="2596"/>
      <c r="J9" s="2596"/>
      <c r="K9" s="2596"/>
      <c r="L9" s="2596"/>
      <c r="M9" s="2596"/>
      <c r="N9" s="2596"/>
      <c r="O9" s="2596"/>
      <c r="P9" s="2597"/>
      <c r="Q9" s="553"/>
      <c r="R9" s="458" t="s">
        <v>2</v>
      </c>
      <c r="S9" s="2602" t="str">
        <f>IF(ISBLANK('Job Info.'!D5),"",'Job Info.'!D5)</f>
        <v>NN22-0071</v>
      </c>
      <c r="T9" s="2596"/>
      <c r="U9" s="2596"/>
      <c r="V9" s="2596"/>
      <c r="W9" s="2596"/>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893" t="s">
        <v>3</v>
      </c>
      <c r="B10" s="2598"/>
      <c r="C10" s="2598"/>
      <c r="D10" s="2596" t="str">
        <f>IF(ISBLANK('Job Info.'!D4),"",'Job Info.'!D4)</f>
        <v>MINDEN, NV</v>
      </c>
      <c r="E10" s="2596"/>
      <c r="F10" s="2596"/>
      <c r="G10" s="2596"/>
      <c r="H10" s="2596"/>
      <c r="I10" s="2596"/>
      <c r="J10" s="2596"/>
      <c r="K10" s="2596"/>
      <c r="L10" s="2596"/>
      <c r="M10" s="2596"/>
      <c r="N10" s="2596"/>
      <c r="O10" s="2596"/>
      <c r="P10" s="2597"/>
      <c r="Q10" s="553"/>
      <c r="R10" s="458" t="s">
        <v>428</v>
      </c>
      <c r="S10" s="2603" t="str">
        <f>IF(ISBLANK('Job Info.'!D6),"",'Job Info.'!D6)</f>
        <v>JMM</v>
      </c>
      <c r="T10" s="2596"/>
      <c r="U10" s="96"/>
      <c r="V10" s="554"/>
      <c r="W10" s="458" t="s">
        <v>429</v>
      </c>
      <c r="X10" s="2596" t="str">
        <f>IF(ISBLANK('Job Info.'!D7),"",'Job Info.'!D7)</f>
        <v>NR</v>
      </c>
      <c r="Y10" s="2596"/>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0" t="s">
        <v>446</v>
      </c>
      <c r="D12" s="2600"/>
      <c r="E12" s="2600" t="s">
        <v>440</v>
      </c>
      <c r="F12" s="2600"/>
      <c r="G12" s="22" t="s">
        <v>447</v>
      </c>
      <c r="H12" s="56"/>
      <c r="I12" s="56"/>
      <c r="J12" s="56"/>
      <c r="K12" s="56"/>
      <c r="L12" s="1986" t="s">
        <v>802</v>
      </c>
      <c r="M12" s="1986"/>
      <c r="N12" s="1986"/>
      <c r="O12" s="1986"/>
      <c r="P12" s="1986"/>
      <c r="Q12" s="1986"/>
      <c r="R12" s="1986"/>
      <c r="S12" s="1986"/>
      <c r="T12" s="1986"/>
      <c r="U12" s="1986"/>
      <c r="V12" s="1986"/>
      <c r="W12" s="1986"/>
      <c r="X12" s="1986"/>
      <c r="Y12" s="1986"/>
      <c r="Z12" s="1986"/>
      <c r="AA12" s="1986"/>
      <c r="AB12" s="56"/>
      <c r="AC12" s="48"/>
      <c r="AD12" s="48"/>
      <c r="AE12" s="48"/>
      <c r="AP12" s="54"/>
      <c r="AQ12" s="54"/>
      <c r="AR12" s="54"/>
      <c r="AS12" s="54"/>
      <c r="AT12" s="54"/>
      <c r="AU12" s="54"/>
      <c r="AV12" s="76"/>
      <c r="AW12" s="77"/>
      <c r="AX12" s="54"/>
      <c r="AY12" s="54"/>
      <c r="AZ12" s="54"/>
      <c r="BA12" s="54"/>
      <c r="BB12" s="54"/>
    </row>
    <row r="13" spans="1:55" ht="12.95" customHeight="1" x14ac:dyDescent="0.2">
      <c r="A13" s="2599" t="s">
        <v>73</v>
      </c>
      <c r="B13" s="2599"/>
      <c r="C13" s="2601"/>
      <c r="D13" s="2601"/>
      <c r="E13" s="2537">
        <f>AO20</f>
        <v>0</v>
      </c>
      <c r="F13" s="2537"/>
      <c r="G13" s="2606">
        <f>E13-C13</f>
        <v>0</v>
      </c>
      <c r="H13" s="2607"/>
      <c r="I13" s="2607"/>
      <c r="J13" s="2607"/>
      <c r="K13" s="40"/>
      <c r="L13" s="2611"/>
      <c r="M13" s="2611"/>
      <c r="N13" s="2611"/>
      <c r="O13" s="2611"/>
      <c r="P13" s="2611"/>
      <c r="Q13" s="2611"/>
      <c r="R13" s="2611"/>
      <c r="S13" s="2611"/>
      <c r="T13" s="2611"/>
      <c r="U13" s="2611"/>
      <c r="V13" s="2611"/>
      <c r="W13" s="2611"/>
      <c r="X13" s="2611"/>
      <c r="Y13" s="2611"/>
      <c r="Z13" s="2611"/>
      <c r="AA13" s="2611"/>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99" t="s">
        <v>437</v>
      </c>
      <c r="B14" s="2599"/>
      <c r="C14" s="2601"/>
      <c r="D14" s="2601"/>
      <c r="E14" s="2537">
        <f>AO21</f>
        <v>535</v>
      </c>
      <c r="F14" s="2537"/>
      <c r="G14" s="2606">
        <f>E14-C14</f>
        <v>535</v>
      </c>
      <c r="H14" s="2607"/>
      <c r="I14" s="2607"/>
      <c r="J14" s="2607"/>
      <c r="K14" s="58"/>
      <c r="L14" s="2611"/>
      <c r="M14" s="2611"/>
      <c r="N14" s="2611"/>
      <c r="O14" s="2611"/>
      <c r="P14" s="2611"/>
      <c r="Q14" s="2611"/>
      <c r="R14" s="2611"/>
      <c r="S14" s="2611"/>
      <c r="T14" s="2611"/>
      <c r="U14" s="2611"/>
      <c r="V14" s="2611"/>
      <c r="W14" s="2611"/>
      <c r="X14" s="2611"/>
      <c r="Y14" s="2611"/>
      <c r="Z14" s="2611"/>
      <c r="AA14" s="2611"/>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99" t="s">
        <v>438</v>
      </c>
      <c r="B15" s="2599"/>
      <c r="C15" s="2601"/>
      <c r="D15" s="2601"/>
      <c r="E15" s="2537">
        <f>AO22</f>
        <v>48</v>
      </c>
      <c r="F15" s="2537"/>
      <c r="G15" s="2606">
        <f>E15-C15</f>
        <v>48</v>
      </c>
      <c r="H15" s="2607"/>
      <c r="I15" s="2607"/>
      <c r="J15" s="2607"/>
      <c r="K15" s="46"/>
      <c r="L15" s="2611"/>
      <c r="M15" s="2611"/>
      <c r="N15" s="2611"/>
      <c r="O15" s="2611"/>
      <c r="P15" s="2611"/>
      <c r="Q15" s="2611"/>
      <c r="R15" s="2611"/>
      <c r="S15" s="2611"/>
      <c r="T15" s="2611"/>
      <c r="U15" s="2611"/>
      <c r="V15" s="2611"/>
      <c r="W15" s="2611"/>
      <c r="X15" s="2611"/>
      <c r="Y15" s="2611"/>
      <c r="Z15" s="2611"/>
      <c r="AA15" s="2611"/>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604" t="s">
        <v>1007</v>
      </c>
      <c r="B16" s="2599"/>
      <c r="C16" s="2601"/>
      <c r="D16" s="2601"/>
      <c r="E16" s="2537">
        <f>AO23</f>
        <v>0</v>
      </c>
      <c r="F16" s="2537"/>
      <c r="G16" s="2606">
        <f>E16-C16</f>
        <v>0</v>
      </c>
      <c r="H16" s="2607"/>
      <c r="I16" s="2607"/>
      <c r="J16" s="2607"/>
      <c r="K16" s="46"/>
      <c r="L16" s="2611"/>
      <c r="M16" s="2611"/>
      <c r="N16" s="2611"/>
      <c r="O16" s="2611"/>
      <c r="P16" s="2611"/>
      <c r="Q16" s="2611"/>
      <c r="R16" s="2611"/>
      <c r="S16" s="2611"/>
      <c r="T16" s="2611"/>
      <c r="U16" s="2611"/>
      <c r="V16" s="2611"/>
      <c r="W16" s="2611"/>
      <c r="X16" s="2611"/>
      <c r="Y16" s="2611"/>
      <c r="Z16" s="2611"/>
      <c r="AA16" s="2611"/>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99" t="s">
        <v>439</v>
      </c>
      <c r="B17" s="2599"/>
      <c r="C17" s="2605"/>
      <c r="D17" s="2605"/>
      <c r="E17" s="2537">
        <f>AO24</f>
        <v>2065</v>
      </c>
      <c r="F17" s="2537"/>
      <c r="G17" s="39"/>
      <c r="H17" s="57"/>
      <c r="I17" s="45"/>
      <c r="J17" s="45"/>
      <c r="K17" s="46"/>
      <c r="L17" s="2611"/>
      <c r="M17" s="2611"/>
      <c r="N17" s="2611"/>
      <c r="O17" s="2611"/>
      <c r="P17" s="2611"/>
      <c r="Q17" s="2611"/>
      <c r="R17" s="2611"/>
      <c r="S17" s="2611"/>
      <c r="T17" s="2611"/>
      <c r="U17" s="2611"/>
      <c r="V17" s="2611"/>
      <c r="W17" s="2611"/>
      <c r="X17" s="2611"/>
      <c r="Y17" s="2611"/>
      <c r="Z17" s="2611"/>
      <c r="AA17" s="2611"/>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570">
        <f>SUM(C13:D16)</f>
        <v>0</v>
      </c>
      <c r="D18" s="2571"/>
      <c r="E18" s="78" t="s">
        <v>448</v>
      </c>
      <c r="F18" s="39"/>
      <c r="G18" s="44"/>
      <c r="H18" s="57"/>
      <c r="I18" s="45"/>
      <c r="J18" s="45"/>
      <c r="K18" s="46"/>
      <c r="L18" s="2611"/>
      <c r="M18" s="2611"/>
      <c r="N18" s="2611"/>
      <c r="O18" s="2611"/>
      <c r="P18" s="2611"/>
      <c r="Q18" s="2611"/>
      <c r="R18" s="2611"/>
      <c r="S18" s="2611"/>
      <c r="T18" s="2611"/>
      <c r="U18" s="2611"/>
      <c r="V18" s="2611"/>
      <c r="W18" s="2611"/>
      <c r="X18" s="2611"/>
      <c r="Y18" s="2611"/>
      <c r="Z18" s="2611"/>
      <c r="AA18" s="2611"/>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572" t="str">
        <f>IF(NOT(AO17),"No Bridging Anchors Listed On BOM","")</f>
        <v>No Bridging Anchors Listed On BOM</v>
      </c>
      <c r="D19" s="2573"/>
      <c r="E19" s="2573"/>
      <c r="F19" s="2573"/>
      <c r="G19" s="2573"/>
      <c r="H19" s="557"/>
      <c r="I19"/>
      <c r="J19"/>
      <c r="K19" s="46"/>
      <c r="L19" s="2612"/>
      <c r="M19" s="2612"/>
      <c r="N19" s="2612"/>
      <c r="O19" s="2612"/>
      <c r="P19" s="2612"/>
      <c r="Q19" s="2612"/>
      <c r="R19" s="2612"/>
      <c r="S19" s="2612"/>
      <c r="T19" s="2612"/>
      <c r="U19" s="2612"/>
      <c r="V19" s="2612"/>
      <c r="W19" s="2612"/>
      <c r="X19" s="2612"/>
      <c r="Y19" s="2612"/>
      <c r="Z19" s="2612"/>
      <c r="AA19" s="2612"/>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613" t="s">
        <v>442</v>
      </c>
      <c r="C21" s="2613"/>
      <c r="D21" s="2613"/>
      <c r="E21" s="2613"/>
      <c r="F21" s="2613"/>
      <c r="G21" s="2613"/>
      <c r="H21" s="2613"/>
      <c r="I21" s="2613"/>
      <c r="J21" s="2613"/>
      <c r="K21" s="2613"/>
      <c r="L21" s="2613"/>
      <c r="M21" s="2613"/>
      <c r="N21" s="2613"/>
      <c r="O21" s="2613"/>
      <c r="P21" s="2613"/>
      <c r="Q21" s="2613"/>
      <c r="R21" s="2613"/>
      <c r="S21" s="2613"/>
      <c r="T21" s="2613"/>
      <c r="U21" s="2613"/>
      <c r="V21" s="2613"/>
      <c r="W21" s="2613"/>
      <c r="X21" s="2613"/>
      <c r="Y21" s="2613"/>
      <c r="Z21" s="2613"/>
      <c r="AA21" s="2613"/>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48" t="str">
        <f ca="1">IF(ISBLANK(OFFSET($AP$2,D22,0)),"Project Total",CONCATENATE("Seq. ",OFFSET($AP$2,D22,0)))</f>
        <v>Seq. N.S.</v>
      </c>
      <c r="E23" s="2549"/>
      <c r="F23" s="2549"/>
      <c r="G23" s="2550"/>
      <c r="H23" s="2548" t="str">
        <f ca="1">IF(ISBLANK(OFFSET($AP$2,H22,0)),"",CONCATENATE("Seq. ",OFFSET($AP$2,H22,0)))</f>
        <v>Seq. 1</v>
      </c>
      <c r="I23" s="2549"/>
      <c r="J23" s="2549"/>
      <c r="K23" s="2550"/>
      <c r="L23" s="2548" t="str">
        <f ca="1">IF(ISBLANK(OFFSET($AP$2,L22,0)),"",CONCATENATE("Seq. ",OFFSET($AP$2,L22,0)))</f>
        <v>Seq. 2</v>
      </c>
      <c r="M23" s="2549"/>
      <c r="N23" s="2549"/>
      <c r="O23" s="2550"/>
      <c r="P23" s="2548" t="str">
        <f ca="1">IF(ISBLANK(OFFSET($AP$2,P22,0)),"",CONCATENATE("Seq. ",OFFSET($AP$2,P22,0)))</f>
        <v>Seq. 3</v>
      </c>
      <c r="Q23" s="2549"/>
      <c r="R23" s="2549"/>
      <c r="S23" s="2550"/>
      <c r="T23" s="2548" t="str">
        <f ca="1">IF(ISBLANK(OFFSET($AP$2,T22,0)),"",CONCATENATE("Seq. ",OFFSET($AP$2,T22,0)))</f>
        <v/>
      </c>
      <c r="U23" s="2549"/>
      <c r="V23" s="2549"/>
      <c r="W23" s="2550"/>
      <c r="X23" s="2548" t="str">
        <f ca="1">IF(ISBLANK(OFFSET($AP$2,X22,0)),"",CONCATENATE("Seq. ",OFFSET($AP$2,X22,0)))</f>
        <v/>
      </c>
      <c r="Y23" s="2549"/>
      <c r="Z23" s="2549"/>
      <c r="AA23" s="2550"/>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51" t="s">
        <v>440</v>
      </c>
      <c r="E24" s="2552"/>
      <c r="F24" s="2552" t="s">
        <v>441</v>
      </c>
      <c r="G24" s="2553"/>
      <c r="H24" s="2551" t="s">
        <v>440</v>
      </c>
      <c r="I24" s="2552"/>
      <c r="J24" s="2552" t="s">
        <v>441</v>
      </c>
      <c r="K24" s="2553"/>
      <c r="L24" s="2551" t="s">
        <v>440</v>
      </c>
      <c r="M24" s="2552"/>
      <c r="N24" s="2552" t="s">
        <v>441</v>
      </c>
      <c r="O24" s="2553"/>
      <c r="P24" s="2551" t="s">
        <v>440</v>
      </c>
      <c r="Q24" s="2552"/>
      <c r="R24" s="2552" t="s">
        <v>441</v>
      </c>
      <c r="S24" s="2553"/>
      <c r="T24" s="2551" t="s">
        <v>440</v>
      </c>
      <c r="U24" s="2552"/>
      <c r="V24" s="2552" t="s">
        <v>441</v>
      </c>
      <c r="W24" s="2553"/>
      <c r="X24" s="2551" t="s">
        <v>440</v>
      </c>
      <c r="Y24" s="2552"/>
      <c r="Z24" s="2552" t="s">
        <v>441</v>
      </c>
      <c r="AA24" s="2553"/>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54" t="s">
        <v>73</v>
      </c>
      <c r="C25" s="2555"/>
      <c r="D25" s="2536">
        <f ca="1">OFFSET($AQ$2,D22,0)+OFFSET($AU$2,D22,0)</f>
        <v>0</v>
      </c>
      <c r="E25" s="2537"/>
      <c r="F25" s="2538">
        <f ca="1">(OFFSET($AQ$2,D22,0)+OFFSET($AU$2,D22,0))-(OFFSET($AW$2,D22,0)+OFFSET($BA$2,D22,0))</f>
        <v>0</v>
      </c>
      <c r="G25" s="2539"/>
      <c r="H25" s="2536">
        <f ca="1">IF(ISBLANK(OFFSET($AP$2,H22,0)),"",OFFSET($AQ$2,H22,0)+OFFSET($AU$2,H22,0))</f>
        <v>0</v>
      </c>
      <c r="I25" s="2537"/>
      <c r="J25" s="2538">
        <f ca="1">IF(ISBLANK(OFFSET($AP$2,H22,0)),"",(OFFSET($AQ$2,H22,0)+OFFSET($AU$2,H22,0))-(OFFSET($AW$2,H22,0)+OFFSET($BA$2,H22,0)))</f>
        <v>0</v>
      </c>
      <c r="K25" s="2539"/>
      <c r="L25" s="2536">
        <f ca="1">IF(ISBLANK(OFFSET($AP$2,L22,0)),"",OFFSET($AQ$2,L22,0)+OFFSET($AU$2,L22,0))</f>
        <v>0</v>
      </c>
      <c r="M25" s="2537"/>
      <c r="N25" s="2538">
        <f ca="1">IF(ISBLANK(OFFSET($AP$2,L22,0)),"",(OFFSET($AQ$2,L22,0)+OFFSET($AU$2,L22,0))-(OFFSET($AW$2,L22,0)+OFFSET($BA$2,L22,0)))</f>
        <v>0</v>
      </c>
      <c r="O25" s="2539"/>
      <c r="P25" s="2536">
        <f ca="1">IF(ISBLANK(OFFSET($AP$2,P22,0)),"",OFFSET($AQ$2,P22,0)+OFFSET($AU$2,P22,0))</f>
        <v>0</v>
      </c>
      <c r="Q25" s="2537"/>
      <c r="R25" s="2538">
        <f ca="1">IF(ISBLANK(OFFSET($AP$2,P22,0)),"",(OFFSET($AQ$2,P22,0)+OFFSET($AU$2,P22,0))-(OFFSET($AW$2,P22,0)+OFFSET($BA$2,P22,0)))</f>
        <v>0</v>
      </c>
      <c r="S25" s="2539"/>
      <c r="T25" s="2536" t="str">
        <f ca="1">IF(ISBLANK(OFFSET($AP$2,T22,0)),"",OFFSET($AQ$2,T22,0)+OFFSET($AU$2,T22,0))</f>
        <v/>
      </c>
      <c r="U25" s="2537"/>
      <c r="V25" s="2538" t="str">
        <f ca="1">IF(ISBLANK(OFFSET($AP$2,T22,0)),"",(OFFSET($AQ$2,T22,0)+OFFSET($AU$2,T22,0))-(OFFSET($AW$2,T22,0)+OFFSET($BA$2,T22,0)))</f>
        <v/>
      </c>
      <c r="W25" s="2539"/>
      <c r="X25" s="2536" t="str">
        <f ca="1">IF(ISBLANK(OFFSET($AP$2,X22,0)),"",OFFSET($AQ$2,X22,0)+OFFSET($AU$2,X22,0))</f>
        <v/>
      </c>
      <c r="Y25" s="2537"/>
      <c r="Z25" s="2538" t="str">
        <f ca="1">IF(ISBLANK(OFFSET($AP$2,X22,0)),"",(OFFSET($AQ$2,X22,0)+OFFSET($AU$2,X22,0))-(OFFSET($AW$2,X22,0)+OFFSET($BA$2,X22,0)))</f>
        <v/>
      </c>
      <c r="AA25" s="2539"/>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6">
        <f ca="1">OFFSET($AR$2,D22,0)</f>
        <v>0</v>
      </c>
      <c r="E26" s="2537"/>
      <c r="F26" s="2538">
        <f ca="1">OFFSET($AR$2,D22,0)-OFFSET($AX$2,D22,0)</f>
        <v>0</v>
      </c>
      <c r="G26" s="2539"/>
      <c r="H26" s="2536">
        <f ca="1">IF(ISBLANK(OFFSET($AP$2,H22,0)),"",OFFSET($AR$2,H22,0))</f>
        <v>180</v>
      </c>
      <c r="I26" s="2537"/>
      <c r="J26" s="2538">
        <f ca="1">IF(ISBLANK(OFFSET($AP$2,H22,0)),"",OFFSET($AR$2,H22,0)-OFFSET($AX$2,H22,0))</f>
        <v>180</v>
      </c>
      <c r="K26" s="2539"/>
      <c r="L26" s="2536">
        <f ca="1">IF(ISBLANK(OFFSET($AP$2,L22,0)),"",OFFSET($AR$2,L22,0))</f>
        <v>180</v>
      </c>
      <c r="M26" s="2537"/>
      <c r="N26" s="2538">
        <f ca="1">IF(ISBLANK(OFFSET($AP$2,L22,0)),"",OFFSET($AR$2,L22,0)-OFFSET($AX$2,L22,0))</f>
        <v>180</v>
      </c>
      <c r="O26" s="2539"/>
      <c r="P26" s="2536">
        <f ca="1">IF(ISBLANK(OFFSET($AP$2,P22,0)),"",OFFSET($AR$2,P22,0))</f>
        <v>175</v>
      </c>
      <c r="Q26" s="2537"/>
      <c r="R26" s="2538">
        <f ca="1">IF(ISBLANK(OFFSET($AP$2,P22,0)),"",OFFSET($AR$2,P22,0)-OFFSET($AX$2,P22,0))</f>
        <v>175</v>
      </c>
      <c r="S26" s="2539"/>
      <c r="T26" s="2536" t="str">
        <f ca="1">IF(ISBLANK(OFFSET($AP$2,T22,0)),"",OFFSET($AR$2,T22,0))</f>
        <v/>
      </c>
      <c r="U26" s="2537"/>
      <c r="V26" s="2538" t="str">
        <f ca="1">IF(ISBLANK(OFFSET($AP$2,T22,0)),"",OFFSET($AR$2,T22,0)-OFFSET($AX$2,T22,0))</f>
        <v/>
      </c>
      <c r="W26" s="2539"/>
      <c r="X26" s="2536" t="str">
        <f ca="1">IF(ISBLANK(OFFSET($AP$2,X22,0)),"",OFFSET($AR$2,X22,0))</f>
        <v/>
      </c>
      <c r="Y26" s="2537"/>
      <c r="Z26" s="2538" t="str">
        <f ca="1">IF(ISBLANK(OFFSET($AP$2,X22,0)),"",OFFSET($AR$2,X22,0)-OFFSET($AX$2,X22,0))</f>
        <v/>
      </c>
      <c r="AA26" s="2539"/>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6">
        <f ca="1">OFFSET($AS$2,D22,0)</f>
        <v>0</v>
      </c>
      <c r="E27" s="2537"/>
      <c r="F27" s="2538">
        <f ca="1">OFFSET($AS$2,D22,0)-OFFSET($AY$2,D22,0)</f>
        <v>0</v>
      </c>
      <c r="G27" s="2539"/>
      <c r="H27" s="2536">
        <f ca="1">IF(ISBLANK(OFFSET($AP$2,H22,0)),"",OFFSET($AS$2,H22,0))</f>
        <v>16</v>
      </c>
      <c r="I27" s="2537"/>
      <c r="J27" s="2538">
        <f ca="1">IF(ISBLANK(OFFSET($AP$2,H22,0)),"",OFFSET($AS$2,H22,0)-OFFSET($AY$2,H22,0))</f>
        <v>16</v>
      </c>
      <c r="K27" s="2539"/>
      <c r="L27" s="2536">
        <f ca="1">IF(ISBLANK(OFFSET($AP$2,L22,0)),"",OFFSET($AS$2,L22,0))</f>
        <v>16</v>
      </c>
      <c r="M27" s="2537"/>
      <c r="N27" s="2538">
        <f ca="1">IF(ISBLANK(OFFSET($AP$2,L22,0)),"",OFFSET($AS$2,L22,0)-OFFSET($AY$2,L22,0))</f>
        <v>16</v>
      </c>
      <c r="O27" s="2539"/>
      <c r="P27" s="2536">
        <f ca="1">IF(ISBLANK(OFFSET($AP$2,P22,0)),"",OFFSET($AS$2,P22,0))</f>
        <v>16</v>
      </c>
      <c r="Q27" s="2537"/>
      <c r="R27" s="2538">
        <f ca="1">IF(ISBLANK(OFFSET($AP$2,P22,0)),"",OFFSET($AS$2,P22,0)-OFFSET($AY$2,P22,0))</f>
        <v>16</v>
      </c>
      <c r="S27" s="2539"/>
      <c r="T27" s="2536" t="str">
        <f ca="1">IF(ISBLANK(OFFSET($AP$2,T22,0)),"",OFFSET($AS$2,T22,0))</f>
        <v/>
      </c>
      <c r="U27" s="2537"/>
      <c r="V27" s="2538" t="str">
        <f ca="1">IF(ISBLANK(OFFSET($AP$2,T22,0)),"",OFFSET($AS$2,T22,0)-OFFSET($AY$2,T22,0))</f>
        <v/>
      </c>
      <c r="W27" s="2539"/>
      <c r="X27" s="2536" t="str">
        <f ca="1">IF(ISBLANK(OFFSET($AP$2,X22,0)),"",OFFSET($AS$2,X22,0))</f>
        <v/>
      </c>
      <c r="Y27" s="2537"/>
      <c r="Z27" s="2538" t="str">
        <f ca="1">IF(ISBLANK(OFFSET($AP$2,X22,0)),"",OFFSET($AS$2,X22,0)-OFFSET($AY$2,X22,0))</f>
        <v/>
      </c>
      <c r="AA27" s="2539"/>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6">
        <f ca="1">OFFSET($AT$2,D22,0)</f>
        <v>0</v>
      </c>
      <c r="E28" s="2537"/>
      <c r="F28" s="2538">
        <f ca="1">OFFSET($AT$2,D22,0)-OFFSET($AZ$2,D22,0)</f>
        <v>0</v>
      </c>
      <c r="G28" s="2539"/>
      <c r="H28" s="2536">
        <f ca="1">IF(ISBLANK(OFFSET($AP$2,H22,0)),"",OFFSET($AT$2,H22,0))</f>
        <v>0</v>
      </c>
      <c r="I28" s="2537"/>
      <c r="J28" s="2538">
        <f ca="1">IF(ISBLANK(OFFSET($AP$2,H22,0)),"",OFFSET($AT$2,H22,0)-OFFSET($AZ$2,H22,0))</f>
        <v>0</v>
      </c>
      <c r="K28" s="2539"/>
      <c r="L28" s="2536">
        <f ca="1">IF(ISBLANK(OFFSET($AP$2,L22,0)),"",OFFSET($AT$2,L22,0))</f>
        <v>0</v>
      </c>
      <c r="M28" s="2537"/>
      <c r="N28" s="2538">
        <f ca="1">IF(ISBLANK(OFFSET($AP$2,L22,0)),"",OFFSET($AT$2,L22,0)-OFFSET($AZ$2,L22,0))</f>
        <v>0</v>
      </c>
      <c r="O28" s="2539"/>
      <c r="P28" s="2536">
        <f ca="1">IF(ISBLANK(OFFSET($AP$2,P22,0)),"",OFFSET($AT$2,P22,0))</f>
        <v>0</v>
      </c>
      <c r="Q28" s="2537"/>
      <c r="R28" s="2538">
        <f ca="1">IF(ISBLANK(OFFSET($AP$2,P22,0)),"",OFFSET($AT$2,P22,0)-OFFSET($AZ$2,P22,0))</f>
        <v>0</v>
      </c>
      <c r="S28" s="2539"/>
      <c r="T28" s="2536" t="str">
        <f ca="1">IF(ISBLANK(OFFSET($AP$2,T22,0)),"",OFFSET($AT$2,T22,0))</f>
        <v/>
      </c>
      <c r="U28" s="2537"/>
      <c r="V28" s="2538" t="str">
        <f ca="1">IF(ISBLANK(OFFSET($AP$2,T22,0)),"",OFFSET($AT$2,T22,0)-OFFSET($AZ$2,T22,0))</f>
        <v/>
      </c>
      <c r="W28" s="2539"/>
      <c r="X28" s="2536" t="str">
        <f ca="1">IF(ISBLANK(OFFSET($AP$2,X22,0)),"",OFFSET($AT$2,X22,0))</f>
        <v/>
      </c>
      <c r="Y28" s="2537"/>
      <c r="Z28" s="2538" t="str">
        <f ca="1">IF(ISBLANK(OFFSET($AP$2,X22,0)),"",OFFSET($AT$2,X22,0)-OFFSET($AZ$2,X22,0))</f>
        <v/>
      </c>
      <c r="AA28" s="2539"/>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42" t="s">
        <v>439</v>
      </c>
      <c r="C29" s="2543"/>
      <c r="D29" s="2544">
        <f ca="1">OFFSET($AV$2,D22,0)</f>
        <v>12</v>
      </c>
      <c r="E29" s="2545"/>
      <c r="F29" s="2546">
        <f ca="1">OFFSET($AV$2,D22,0)-OFFSET($BB$2,D22,0)</f>
        <v>12</v>
      </c>
      <c r="G29" s="2547"/>
      <c r="H29" s="2544">
        <f ca="1">IF(ISBLANK(OFFSET($AP$2,H22,0)),"",OFFSET($AV$2,H22,0))</f>
        <v>691</v>
      </c>
      <c r="I29" s="2545"/>
      <c r="J29" s="2546">
        <f ca="1">IF(ISBLANK(OFFSET($AP$2,H22,0)),"",OFFSET($AV$2,H22,0)-OFFSET($BB$2,H22,0))</f>
        <v>691</v>
      </c>
      <c r="K29" s="2547"/>
      <c r="L29" s="2544">
        <f ca="1">IF(ISBLANK(OFFSET($AP$2,L22,0)),"",OFFSET($AV$2,L22,0))</f>
        <v>700</v>
      </c>
      <c r="M29" s="2545"/>
      <c r="N29" s="2546">
        <f ca="1">IF(ISBLANK(OFFSET($AP$2,L22,0)),"",OFFSET($AV$2,L22,0)-OFFSET($BB$2,L22,0))</f>
        <v>700</v>
      </c>
      <c r="O29" s="2547"/>
      <c r="P29" s="2544">
        <f ca="1">IF(ISBLANK(OFFSET($AP$2,P22,0)),"",OFFSET($AV$2,P22,0))</f>
        <v>662</v>
      </c>
      <c r="Q29" s="2545"/>
      <c r="R29" s="2546">
        <f ca="1">IF(ISBLANK(OFFSET($AP$2,P22,0)),"",OFFSET($AV$2,P22,0)-OFFSET($BB$2,P22,0))</f>
        <v>662</v>
      </c>
      <c r="S29" s="2547"/>
      <c r="T29" s="2544" t="str">
        <f ca="1">IF(ISBLANK(OFFSET($AP$2,T22,0)),"",OFFSET($AV$2,T22,0))</f>
        <v/>
      </c>
      <c r="U29" s="2545"/>
      <c r="V29" s="2546" t="str">
        <f ca="1">IF(ISBLANK(OFFSET($AP$2,T22,0)),"",OFFSET($AV$2,T22,0)-OFFSET($BB$2,T22,0))</f>
        <v/>
      </c>
      <c r="W29" s="2547"/>
      <c r="X29" s="2544" t="str">
        <f ca="1">IF(ISBLANK(OFFSET($AP$2,X22,0)),"",OFFSET($AV$2,X22,0))</f>
        <v/>
      </c>
      <c r="Y29" s="2545"/>
      <c r="Z29" s="2546" t="str">
        <f ca="1">IF(ISBLANK(OFFSET($AP$2,X22,0)),"",OFFSET($AV$2,X22,0)-OFFSET($BB$2,X22,0))</f>
        <v/>
      </c>
      <c r="AA29" s="2547"/>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48" t="str">
        <f ca="1">IF(ISBLANK(OFFSET($AP$2,D30,0)),"",CONCATENATE("Seq. ",OFFSET($AP$2,D30,0)))</f>
        <v/>
      </c>
      <c r="E31" s="2549"/>
      <c r="F31" s="2549"/>
      <c r="G31" s="2550"/>
      <c r="H31" s="2548" t="str">
        <f ca="1">IF(ISBLANK(OFFSET($AP$2,H30,0)),"",CONCATENATE("Seq. ",OFFSET($AP$2,H30,0)))</f>
        <v/>
      </c>
      <c r="I31" s="2549"/>
      <c r="J31" s="2549"/>
      <c r="K31" s="2550"/>
      <c r="L31" s="2548" t="str">
        <f ca="1">IF(ISBLANK(OFFSET($AP$2,L30,0)),"",CONCATENATE("Seq. ",OFFSET($AP$2,L30,0)))</f>
        <v/>
      </c>
      <c r="M31" s="2549"/>
      <c r="N31" s="2549"/>
      <c r="O31" s="2550"/>
      <c r="P31" s="2548" t="str">
        <f ca="1">IF(ISBLANK(OFFSET($AP$2,P30,0)),"",CONCATENATE("Seq. ",OFFSET($AP$2,P30,0)))</f>
        <v/>
      </c>
      <c r="Q31" s="2549"/>
      <c r="R31" s="2549"/>
      <c r="S31" s="2550"/>
      <c r="T31" s="2548" t="str">
        <f ca="1">IF(ISBLANK(OFFSET($AP$2,T30,0)),"",CONCATENATE("Seq. ",OFFSET($AP$2,T30,0)))</f>
        <v/>
      </c>
      <c r="U31" s="2549"/>
      <c r="V31" s="2549"/>
      <c r="W31" s="2550"/>
      <c r="X31" s="2548" t="str">
        <f ca="1">IF(ISBLANK(OFFSET($AP$2,X30,0)),"",CONCATENATE("Seq. ",OFFSET($AP$2,X30,0)))</f>
        <v/>
      </c>
      <c r="Y31" s="2549"/>
      <c r="Z31" s="2549"/>
      <c r="AA31" s="2550"/>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51" t="s">
        <v>440</v>
      </c>
      <c r="E32" s="2552"/>
      <c r="F32" s="2552" t="s">
        <v>441</v>
      </c>
      <c r="G32" s="2553"/>
      <c r="H32" s="2551" t="s">
        <v>440</v>
      </c>
      <c r="I32" s="2552"/>
      <c r="J32" s="2552" t="s">
        <v>441</v>
      </c>
      <c r="K32" s="2553"/>
      <c r="L32" s="2551" t="s">
        <v>440</v>
      </c>
      <c r="M32" s="2552"/>
      <c r="N32" s="2552" t="s">
        <v>441</v>
      </c>
      <c r="O32" s="2553"/>
      <c r="P32" s="2551" t="s">
        <v>440</v>
      </c>
      <c r="Q32" s="2552"/>
      <c r="R32" s="2552" t="s">
        <v>441</v>
      </c>
      <c r="S32" s="2553"/>
      <c r="T32" s="2551" t="s">
        <v>440</v>
      </c>
      <c r="U32" s="2552"/>
      <c r="V32" s="2552" t="s">
        <v>441</v>
      </c>
      <c r="W32" s="2553"/>
      <c r="X32" s="2551" t="s">
        <v>440</v>
      </c>
      <c r="Y32" s="2552"/>
      <c r="Z32" s="2552" t="s">
        <v>441</v>
      </c>
      <c r="AA32" s="2553"/>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54" t="s">
        <v>73</v>
      </c>
      <c r="C33" s="2555"/>
      <c r="D33" s="2536" t="str">
        <f ca="1">IF(ISBLANK(OFFSET($AP$2,D30,0)),"",OFFSET($AQ$2,D30,0)+OFFSET($AU$2,D30,0))</f>
        <v/>
      </c>
      <c r="E33" s="2537"/>
      <c r="F33" s="2538" t="str">
        <f ca="1">IF(ISBLANK(OFFSET($AP$2,D30,0)),"",(OFFSET($AQ$2,D30,0)+OFFSET($AU$2,D30,0))-(OFFSET($AW$2,D30,0)+OFFSET($BA$2,D30,0)))</f>
        <v/>
      </c>
      <c r="G33" s="2539"/>
      <c r="H33" s="2536" t="str">
        <f ca="1">IF(ISBLANK(OFFSET($AP$2,H30,0)),"",OFFSET($AQ$2,H30,0)+OFFSET($AU$2,H30,0))</f>
        <v/>
      </c>
      <c r="I33" s="2537"/>
      <c r="J33" s="2538" t="str">
        <f ca="1">IF(ISBLANK(OFFSET($AP$2,H30,0)),"",(OFFSET($AQ$2,H30,0)+OFFSET($AU$2,H30,0))-(OFFSET($AW$2,H30,0)+OFFSET($BA$2,H30,0)))</f>
        <v/>
      </c>
      <c r="K33" s="2539"/>
      <c r="L33" s="2536" t="str">
        <f ca="1">IF(ISBLANK(OFFSET($AP$2,L30,0)),"",OFFSET($AQ$2,L30,0)+OFFSET($AU$2,L30,0))</f>
        <v/>
      </c>
      <c r="M33" s="2537"/>
      <c r="N33" s="2538" t="str">
        <f ca="1">IF(ISBLANK(OFFSET($AP$2,L30,0)),"",(OFFSET($AQ$2,L30,0)+OFFSET($AU$2,L30,0))-(OFFSET($AW$2,L30,0)+OFFSET($BA$2,L30,0)))</f>
        <v/>
      </c>
      <c r="O33" s="2539"/>
      <c r="P33" s="2536" t="str">
        <f ca="1">IF(ISBLANK(OFFSET($AP$2,P30,0)),"",OFFSET($AQ$2,P30,0)+OFFSET($AU$2,P30,0))</f>
        <v/>
      </c>
      <c r="Q33" s="2537"/>
      <c r="R33" s="2538" t="str">
        <f ca="1">IF(ISBLANK(OFFSET($AP$2,P30,0)),"",(OFFSET($AQ$2,P30,0)+OFFSET($AU$2,P30,0))-(OFFSET($AW$2,P30,0)+OFFSET($BA$2,P30,0)))</f>
        <v/>
      </c>
      <c r="S33" s="2539"/>
      <c r="T33" s="2536" t="str">
        <f ca="1">IF(ISBLANK(OFFSET($AP$2,T30,0)),"",OFFSET($AQ$2,T30,0)+OFFSET($AU$2,T30,0))</f>
        <v/>
      </c>
      <c r="U33" s="2537"/>
      <c r="V33" s="2538" t="str">
        <f ca="1">IF(ISBLANK(OFFSET($AP$2,T30,0)),"",(OFFSET($AQ$2,T30,0)+OFFSET($AU$2,T30,0))-(OFFSET($AW$2,T30,0)+OFFSET($BA$2,T30,0)))</f>
        <v/>
      </c>
      <c r="W33" s="2539"/>
      <c r="X33" s="2536" t="str">
        <f ca="1">IF(ISBLANK(OFFSET($AP$2,X30,0)),"",OFFSET($AQ$2,X30,0)+OFFSET($AU$2,X30,0))</f>
        <v/>
      </c>
      <c r="Y33" s="2537"/>
      <c r="Z33" s="2538" t="str">
        <f ca="1">IF(ISBLANK(OFFSET($AP$2,X30,0)),"",(OFFSET($AQ$2,X30,0)+OFFSET($AU$2,X30,0))-(OFFSET($AW$2,X30,0)+OFFSET($BA$2,X30,0)))</f>
        <v/>
      </c>
      <c r="AA33" s="2539"/>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6" t="str">
        <f ca="1">IF(ISBLANK(OFFSET($AP$2,D30,0)),"",OFFSET($AR$2,D30,0))</f>
        <v/>
      </c>
      <c r="E34" s="2537"/>
      <c r="F34" s="2538" t="str">
        <f ca="1">IF(ISBLANK(OFFSET($AP$2,D30,0)),"",OFFSET($AR$2,D30,0)-OFFSET($AX$2,D30,0))</f>
        <v/>
      </c>
      <c r="G34" s="2539"/>
      <c r="H34" s="2536" t="str">
        <f ca="1">IF(ISBLANK(OFFSET($AP$2,H30,0)),"",OFFSET($AR$2,H30,0))</f>
        <v/>
      </c>
      <c r="I34" s="2537"/>
      <c r="J34" s="2538" t="str">
        <f ca="1">IF(ISBLANK(OFFSET($AP$2,H30,0)),"",OFFSET($AR$2,H30,0)-OFFSET($AX$2,H30,0))</f>
        <v/>
      </c>
      <c r="K34" s="2539"/>
      <c r="L34" s="2536" t="str">
        <f ca="1">IF(ISBLANK(OFFSET($AP$2,L30,0)),"",OFFSET($AR$2,L30,0))</f>
        <v/>
      </c>
      <c r="M34" s="2537"/>
      <c r="N34" s="2538" t="str">
        <f ca="1">IF(ISBLANK(OFFSET($AP$2,L30,0)),"",OFFSET($AR$2,L30,0)-OFFSET($AX$2,L30,0))</f>
        <v/>
      </c>
      <c r="O34" s="2539"/>
      <c r="P34" s="2536" t="str">
        <f ca="1">IF(ISBLANK(OFFSET($AP$2,P30,0)),"",OFFSET($AR$2,P30,0))</f>
        <v/>
      </c>
      <c r="Q34" s="2537"/>
      <c r="R34" s="2538" t="str">
        <f ca="1">IF(ISBLANK(OFFSET($AP$2,P30,0)),"",OFFSET($AR$2,P30,0)-OFFSET($AX$2,P30,0))</f>
        <v/>
      </c>
      <c r="S34" s="2539"/>
      <c r="T34" s="2536" t="str">
        <f ca="1">IF(ISBLANK(OFFSET($AP$2,T30,0)),"",OFFSET($AR$2,T30,0))</f>
        <v/>
      </c>
      <c r="U34" s="2537"/>
      <c r="V34" s="2538" t="str">
        <f ca="1">IF(ISBLANK(OFFSET($AP$2,T30,0)),"",OFFSET($AR$2,T30,0)-OFFSET($AX$2,T30,0))</f>
        <v/>
      </c>
      <c r="W34" s="2539"/>
      <c r="X34" s="2536" t="str">
        <f ca="1">IF(ISBLANK(OFFSET($AP$2,X30,0)),"",OFFSET($AR$2,X30,0))</f>
        <v/>
      </c>
      <c r="Y34" s="2537"/>
      <c r="Z34" s="2538" t="str">
        <f ca="1">IF(ISBLANK(OFFSET($AP$2,X30,0)),"",OFFSET($AR$2,X30,0)-OFFSET($AX$2,X30,0))</f>
        <v/>
      </c>
      <c r="AA34" s="2539"/>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6" t="str">
        <f ca="1">IF(ISBLANK(OFFSET($AP$2,D30,0)),"",OFFSET($AS$2,D30,0))</f>
        <v/>
      </c>
      <c r="E35" s="2537"/>
      <c r="F35" s="2538" t="str">
        <f ca="1">IF(ISBLANK(OFFSET($AP$2,D30,0)),"",OFFSET($AS$2,D30,0)-OFFSET($AY$2,D30,0))</f>
        <v/>
      </c>
      <c r="G35" s="2539"/>
      <c r="H35" s="2536" t="str">
        <f ca="1">IF(ISBLANK(OFFSET($AP$2,H30,0)),"",OFFSET($AS$2,H30,0))</f>
        <v/>
      </c>
      <c r="I35" s="2537"/>
      <c r="J35" s="2538" t="str">
        <f ca="1">IF(ISBLANK(OFFSET($AP$2,H30,0)),"",OFFSET($AS$2,H30,0)-OFFSET($AY$2,H30,0))</f>
        <v/>
      </c>
      <c r="K35" s="2539"/>
      <c r="L35" s="2536" t="str">
        <f ca="1">IF(ISBLANK(OFFSET($AP$2,L30,0)),"",OFFSET($AS$2,L30,0))</f>
        <v/>
      </c>
      <c r="M35" s="2537"/>
      <c r="N35" s="2538" t="str">
        <f ca="1">IF(ISBLANK(OFFSET($AP$2,L30,0)),"",OFFSET($AS$2,L30,0)-OFFSET($AY$2,L30,0))</f>
        <v/>
      </c>
      <c r="O35" s="2539"/>
      <c r="P35" s="2536" t="str">
        <f ca="1">IF(ISBLANK(OFFSET($AP$2,P30,0)),"",OFFSET($AS$2,P30,0))</f>
        <v/>
      </c>
      <c r="Q35" s="2537"/>
      <c r="R35" s="2538" t="str">
        <f ca="1">IF(ISBLANK(OFFSET($AP$2,P30,0)),"",OFFSET($AS$2,P30,0)-OFFSET($AY$2,P30,0))</f>
        <v/>
      </c>
      <c r="S35" s="2539"/>
      <c r="T35" s="2536" t="str">
        <f ca="1">IF(ISBLANK(OFFSET($AP$2,T30,0)),"",OFFSET($AS$2,T30,0))</f>
        <v/>
      </c>
      <c r="U35" s="2537"/>
      <c r="V35" s="2538" t="str">
        <f ca="1">IF(ISBLANK(OFFSET($AP$2,T30,0)),"",OFFSET($AS$2,T30,0)-OFFSET($AY$2,T30,0))</f>
        <v/>
      </c>
      <c r="W35" s="2539"/>
      <c r="X35" s="2536" t="str">
        <f ca="1">IF(ISBLANK(OFFSET($AP$2,X30,0)),"",OFFSET($AS$2,X30,0))</f>
        <v/>
      </c>
      <c r="Y35" s="2537"/>
      <c r="Z35" s="2538" t="str">
        <f ca="1">IF(ISBLANK(OFFSET($AP$2,X30,0)),"",OFFSET($AS$2,X30,0)-OFFSET($AY$2,X30,0))</f>
        <v/>
      </c>
      <c r="AA35" s="2539"/>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6" t="str">
        <f ca="1">IF(ISBLANK(OFFSET($AP$2,D30,0)),"",OFFSET($AT$2,D30,0))</f>
        <v/>
      </c>
      <c r="E36" s="2537"/>
      <c r="F36" s="2538" t="str">
        <f ca="1">IF(ISBLANK(OFFSET($AP$2,D30,0)),"",OFFSET($AT$2,D30,0)-OFFSET($AZ$2,D30,0))</f>
        <v/>
      </c>
      <c r="G36" s="2539"/>
      <c r="H36" s="2536" t="str">
        <f ca="1">IF(ISBLANK(OFFSET($AP$2,H30,0)),"",OFFSET($AT$2,H30,0))</f>
        <v/>
      </c>
      <c r="I36" s="2537"/>
      <c r="J36" s="2538" t="str">
        <f ca="1">IF(ISBLANK(OFFSET($AP$2,H30,0)),"",OFFSET($AT$2,H30,0)-OFFSET($AZ$2,H30,0))</f>
        <v/>
      </c>
      <c r="K36" s="2539"/>
      <c r="L36" s="2536" t="str">
        <f ca="1">IF(ISBLANK(OFFSET($AP$2,L30,0)),"",OFFSET($AT$2,L30,0))</f>
        <v/>
      </c>
      <c r="M36" s="2537"/>
      <c r="N36" s="2538" t="str">
        <f ca="1">IF(ISBLANK(OFFSET($AP$2,L30,0)),"",OFFSET($AT$2,L30,0)-OFFSET($AZ$2,L30,0))</f>
        <v/>
      </c>
      <c r="O36" s="2539"/>
      <c r="P36" s="2536" t="str">
        <f ca="1">IF(ISBLANK(OFFSET($AP$2,P30,0)),"",OFFSET($AT$2,P30,0))</f>
        <v/>
      </c>
      <c r="Q36" s="2537"/>
      <c r="R36" s="2538" t="str">
        <f ca="1">IF(ISBLANK(OFFSET($AP$2,P30,0)),"",OFFSET($AT$2,P30,0)-OFFSET($AZ$2,P30,0))</f>
        <v/>
      </c>
      <c r="S36" s="2539"/>
      <c r="T36" s="2536" t="str">
        <f ca="1">IF(ISBLANK(OFFSET($AP$2,T30,0)),"",OFFSET($AT$2,T30,0))</f>
        <v/>
      </c>
      <c r="U36" s="2537"/>
      <c r="V36" s="2538" t="str">
        <f ca="1">IF(ISBLANK(OFFSET($AP$2,T30,0)),"",OFFSET($AT$2,T30,0)-OFFSET($AZ$2,T30,0))</f>
        <v/>
      </c>
      <c r="W36" s="2539"/>
      <c r="X36" s="2536" t="str">
        <f ca="1">IF(ISBLANK(OFFSET($AP$2,X30,0)),"",OFFSET($AT$2,X30,0))</f>
        <v/>
      </c>
      <c r="Y36" s="2537"/>
      <c r="Z36" s="2538" t="str">
        <f ca="1">IF(ISBLANK(OFFSET($AP$2,X30,0)),"",OFFSET($AT$2,X30,0)-OFFSET($AZ$2,X30,0))</f>
        <v/>
      </c>
      <c r="AA36" s="2539"/>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42" t="s">
        <v>439</v>
      </c>
      <c r="C37" s="2543"/>
      <c r="D37" s="2544" t="str">
        <f ca="1">IF(ISBLANK(OFFSET($AP$2,D30,0)),"",OFFSET($AV$2,D30,0))</f>
        <v/>
      </c>
      <c r="E37" s="2545"/>
      <c r="F37" s="2546" t="str">
        <f ca="1">IF(ISBLANK(OFFSET($AP$2,D30,0)),"",OFFSET($AV$2,D30,0)-OFFSET($BB$2,D30,0))</f>
        <v/>
      </c>
      <c r="G37" s="2547"/>
      <c r="H37" s="2544" t="str">
        <f ca="1">IF(ISBLANK(OFFSET($AP$2,H30,0)),"",OFFSET($AV$2,H30,0))</f>
        <v/>
      </c>
      <c r="I37" s="2545"/>
      <c r="J37" s="2546" t="str">
        <f ca="1">IF(ISBLANK(OFFSET($AP$2,H30,0)),"",OFFSET($AV$2,H30,0)-OFFSET($BB$2,H30,0))</f>
        <v/>
      </c>
      <c r="K37" s="2547"/>
      <c r="L37" s="2544" t="str">
        <f ca="1">IF(ISBLANK(OFFSET($AP$2,L30,0)),"",OFFSET($AV$2,L30,0))</f>
        <v/>
      </c>
      <c r="M37" s="2545"/>
      <c r="N37" s="2546" t="str">
        <f ca="1">IF(ISBLANK(OFFSET($AP$2,L30,0)),"",OFFSET($AV$2,L30,0)-OFFSET($BB$2,L30,0))</f>
        <v/>
      </c>
      <c r="O37" s="2547"/>
      <c r="P37" s="2544" t="str">
        <f ca="1">IF(ISBLANK(OFFSET($AP$2,P30,0)),"",OFFSET($AV$2,P30,0))</f>
        <v/>
      </c>
      <c r="Q37" s="2545"/>
      <c r="R37" s="2546" t="str">
        <f ca="1">IF(ISBLANK(OFFSET($AP$2,P30,0)),"",OFFSET($AV$2,P30,0)-OFFSET($BB$2,P30,0))</f>
        <v/>
      </c>
      <c r="S37" s="2547"/>
      <c r="T37" s="2544" t="str">
        <f ca="1">IF(ISBLANK(OFFSET($AP$2,T30,0)),"",OFFSET($AV$2,T30,0))</f>
        <v/>
      </c>
      <c r="U37" s="2545"/>
      <c r="V37" s="2546" t="str">
        <f ca="1">IF(ISBLANK(OFFSET($AP$2,T30,0)),"",OFFSET($AV$2,T30,0)-OFFSET($BB$2,T30,0))</f>
        <v/>
      </c>
      <c r="W37" s="2547"/>
      <c r="X37" s="2544" t="str">
        <f ca="1">IF(ISBLANK(OFFSET($AP$2,X30,0)),"",OFFSET($AV$2,X30,0))</f>
        <v/>
      </c>
      <c r="Y37" s="2545"/>
      <c r="Z37" s="2546" t="str">
        <f ca="1">IF(ISBLANK(OFFSET($AP$2,X30,0)),"",OFFSET($AV$2,X30,0)-OFFSET($BB$2,X30,0))</f>
        <v/>
      </c>
      <c r="AA37" s="2547"/>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48" t="str">
        <f ca="1">IF(ISBLANK(OFFSET($AP$2,D38,0)),"",CONCATENATE("Seq. ",OFFSET($AP$2,D38,0)))</f>
        <v/>
      </c>
      <c r="E39" s="2549"/>
      <c r="F39" s="2549"/>
      <c r="G39" s="2550"/>
      <c r="H39" s="2548" t="str">
        <f ca="1">IF(ISBLANK(OFFSET($AP$2,H38,0)),"",CONCATENATE("Seq. ",OFFSET($AP$2,H38,0)))</f>
        <v/>
      </c>
      <c r="I39" s="2549"/>
      <c r="J39" s="2549"/>
      <c r="K39" s="2550"/>
      <c r="L39" s="2548" t="str">
        <f ca="1">IF(ISBLANK(OFFSET($AP$2,L38,0)),"",CONCATENATE("Seq. ",OFFSET($AP$2,L38,0)))</f>
        <v/>
      </c>
      <c r="M39" s="2549"/>
      <c r="N39" s="2549"/>
      <c r="O39" s="2550"/>
      <c r="P39" s="2548" t="str">
        <f ca="1">IF(ISBLANK(OFFSET($AP$2,P38,0)),"",CONCATENATE("Seq. ",OFFSET($AP$2,P38,0)))</f>
        <v/>
      </c>
      <c r="Q39" s="2549"/>
      <c r="R39" s="2549"/>
      <c r="S39" s="2550"/>
      <c r="T39" s="2548" t="str">
        <f ca="1">IF(ISBLANK(OFFSET($AP$2,T38,0)),"",CONCATENATE("Seq. ",OFFSET($AP$2,T38,0)))</f>
        <v/>
      </c>
      <c r="U39" s="2549"/>
      <c r="V39" s="2549"/>
      <c r="W39" s="2550"/>
      <c r="X39" s="2548" t="str">
        <f ca="1">IF(ISBLANK(OFFSET($AP$2,X38,0)),"",CONCATENATE("Seq. ",OFFSET($AP$2,X38,0)))</f>
        <v/>
      </c>
      <c r="Y39" s="2549"/>
      <c r="Z39" s="2549"/>
      <c r="AA39" s="2550"/>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51" t="s">
        <v>440</v>
      </c>
      <c r="E40" s="2552"/>
      <c r="F40" s="2552" t="s">
        <v>441</v>
      </c>
      <c r="G40" s="2553"/>
      <c r="H40" s="2551" t="s">
        <v>440</v>
      </c>
      <c r="I40" s="2552"/>
      <c r="J40" s="2552" t="s">
        <v>441</v>
      </c>
      <c r="K40" s="2553"/>
      <c r="L40" s="2551" t="s">
        <v>440</v>
      </c>
      <c r="M40" s="2552"/>
      <c r="N40" s="2552" t="s">
        <v>441</v>
      </c>
      <c r="O40" s="2553"/>
      <c r="P40" s="2551" t="s">
        <v>440</v>
      </c>
      <c r="Q40" s="2552"/>
      <c r="R40" s="2552" t="s">
        <v>441</v>
      </c>
      <c r="S40" s="2553"/>
      <c r="T40" s="2551" t="s">
        <v>440</v>
      </c>
      <c r="U40" s="2552"/>
      <c r="V40" s="2552" t="s">
        <v>441</v>
      </c>
      <c r="W40" s="2553"/>
      <c r="X40" s="2551" t="s">
        <v>440</v>
      </c>
      <c r="Y40" s="2552"/>
      <c r="Z40" s="2552" t="s">
        <v>441</v>
      </c>
      <c r="AA40" s="2553"/>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54" t="s">
        <v>73</v>
      </c>
      <c r="C41" s="2555"/>
      <c r="D41" s="2536" t="str">
        <f ca="1">IF(ISBLANK(OFFSET($AP$2,D38,0)),"",OFFSET($AQ$2,D38,0)+OFFSET($AU$2,D38,0))</f>
        <v/>
      </c>
      <c r="E41" s="2537"/>
      <c r="F41" s="2538" t="str">
        <f ca="1">IF(ISBLANK(OFFSET($AP$2,D38,0)),"",(OFFSET($AQ$2,D38,0)+OFFSET($AU$2,D38,0))-(OFFSET($AW$2,D38,0)+OFFSET($BA$2,D38,0)))</f>
        <v/>
      </c>
      <c r="G41" s="2539"/>
      <c r="H41" s="2536" t="str">
        <f ca="1">IF(ISBLANK(OFFSET($AP$2,H38,0)),"",OFFSET($AQ$2,H38,0)+OFFSET($AU$2,H38,0))</f>
        <v/>
      </c>
      <c r="I41" s="2537"/>
      <c r="J41" s="2538" t="str">
        <f ca="1">IF(ISBLANK(OFFSET($AP$2,H38,0)),"",(OFFSET($AQ$2,H38,0)+OFFSET($AU$2,H38,0))-(OFFSET($AW$2,H38,0)+OFFSET($BA$2,H38,0)))</f>
        <v/>
      </c>
      <c r="K41" s="2539"/>
      <c r="L41" s="2536" t="str">
        <f ca="1">IF(ISBLANK(OFFSET($AP$2,L38,0)),"",OFFSET($AQ$2,L38,0)+OFFSET($AU$2,L38,0))</f>
        <v/>
      </c>
      <c r="M41" s="2537"/>
      <c r="N41" s="2538" t="str">
        <f ca="1">IF(ISBLANK(OFFSET($AP$2,L38,0)),"",(OFFSET($AQ$2,L38,0)+OFFSET($AU$2,L38,0))-(OFFSET($AW$2,L38,0)+OFFSET($BA$2,L38,0)))</f>
        <v/>
      </c>
      <c r="O41" s="2539"/>
      <c r="P41" s="2536" t="str">
        <f ca="1">IF(ISBLANK(OFFSET($AP$2,P38,0)),"",OFFSET($AQ$2,P38,0)+OFFSET($AU$2,P38,0))</f>
        <v/>
      </c>
      <c r="Q41" s="2537"/>
      <c r="R41" s="2538" t="str">
        <f ca="1">IF(ISBLANK(OFFSET($AP$2,P38,0)),"",(OFFSET($AQ$2,P38,0)+OFFSET($AU$2,P38,0))-(OFFSET($AW$2,P38,0)+OFFSET($BA$2,P38,0)))</f>
        <v/>
      </c>
      <c r="S41" s="2539"/>
      <c r="T41" s="2536" t="str">
        <f ca="1">IF(ISBLANK(OFFSET($AP$2,T38,0)),"",OFFSET($AQ$2,T38,0)+OFFSET($AU$2,T38,0))</f>
        <v/>
      </c>
      <c r="U41" s="2537"/>
      <c r="V41" s="2538" t="str">
        <f ca="1">IF(ISBLANK(OFFSET($AP$2,T38,0)),"",(OFFSET($AQ$2,T38,0)+OFFSET($AU$2,T38,0))-(OFFSET($AW$2,T38,0)+OFFSET($BA$2,T38,0)))</f>
        <v/>
      </c>
      <c r="W41" s="2539"/>
      <c r="X41" s="2536" t="str">
        <f ca="1">IF(ISBLANK(OFFSET($AP$2,X38,0)),"",OFFSET($AQ$2,X38,0)+OFFSET($AU$2,X38,0))</f>
        <v/>
      </c>
      <c r="Y41" s="2537"/>
      <c r="Z41" s="2538" t="str">
        <f ca="1">IF(ISBLANK(OFFSET($AP$2,X38,0)),"",(OFFSET($AQ$2,X38,0)+OFFSET($AU$2,X38,0))-(OFFSET($AW$2,X38,0)+OFFSET($BA$2,X38,0)))</f>
        <v/>
      </c>
      <c r="AA41" s="2539"/>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6" t="str">
        <f ca="1">IF(ISBLANK(OFFSET($AP$2,D38,0)),"",OFFSET($AR$2,D38,0))</f>
        <v/>
      </c>
      <c r="E42" s="2537"/>
      <c r="F42" s="2538" t="str">
        <f ca="1">IF(ISBLANK(OFFSET($AP$2,D38,0)),"",OFFSET($AR$2,D38,0)-OFFSET($AX$2,D38,0))</f>
        <v/>
      </c>
      <c r="G42" s="2539"/>
      <c r="H42" s="2536" t="str">
        <f ca="1">IF(ISBLANK(OFFSET($AP$2,H38,0)),"",OFFSET($AR$2,H38,0))</f>
        <v/>
      </c>
      <c r="I42" s="2537"/>
      <c r="J42" s="2538" t="str">
        <f ca="1">IF(ISBLANK(OFFSET($AP$2,H38,0)),"",OFFSET($AR$2,H38,0)-OFFSET($AX$2,H38,0))</f>
        <v/>
      </c>
      <c r="K42" s="2539"/>
      <c r="L42" s="2536" t="str">
        <f ca="1">IF(ISBLANK(OFFSET($AP$2,L38,0)),"",OFFSET($AR$2,L38,0))</f>
        <v/>
      </c>
      <c r="M42" s="2537"/>
      <c r="N42" s="2538" t="str">
        <f ca="1">IF(ISBLANK(OFFSET($AP$2,L38,0)),"",OFFSET($AR$2,L38,0)-OFFSET($AX$2,L38,0))</f>
        <v/>
      </c>
      <c r="O42" s="2539"/>
      <c r="P42" s="2536" t="str">
        <f ca="1">IF(ISBLANK(OFFSET($AP$2,P38,0)),"",OFFSET($AR$2,P38,0))</f>
        <v/>
      </c>
      <c r="Q42" s="2537"/>
      <c r="R42" s="2538" t="str">
        <f ca="1">IF(ISBLANK(OFFSET($AP$2,P38,0)),"",OFFSET($AR$2,P38,0)-OFFSET($AX$2,P38,0))</f>
        <v/>
      </c>
      <c r="S42" s="2539"/>
      <c r="T42" s="2536" t="str">
        <f ca="1">IF(ISBLANK(OFFSET($AP$2,T38,0)),"",OFFSET($AR$2,T38,0))</f>
        <v/>
      </c>
      <c r="U42" s="2537"/>
      <c r="V42" s="2538" t="str">
        <f ca="1">IF(ISBLANK(OFFSET($AP$2,T38,0)),"",OFFSET($AR$2,T38,0)-OFFSET($AX$2,T38,0))</f>
        <v/>
      </c>
      <c r="W42" s="2539"/>
      <c r="X42" s="2536" t="str">
        <f ca="1">IF(ISBLANK(OFFSET($AP$2,X38,0)),"",OFFSET($AR$2,X38,0))</f>
        <v/>
      </c>
      <c r="Y42" s="2537"/>
      <c r="Z42" s="2538" t="str">
        <f ca="1">IF(ISBLANK(OFFSET($AP$2,X38,0)),"",OFFSET($AR$2,X38,0)-OFFSET($AX$2,X38,0))</f>
        <v/>
      </c>
      <c r="AA42" s="2539"/>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6" t="str">
        <f ca="1">IF(ISBLANK(OFFSET($AP$2,D38,0)),"",OFFSET($AS$2,D38,0))</f>
        <v/>
      </c>
      <c r="E43" s="2537"/>
      <c r="F43" s="2538" t="str">
        <f ca="1">IF(ISBLANK(OFFSET($AP$2,D38,0)),"",OFFSET($AS$2,D38,0)-OFFSET($AY$2,D38,0))</f>
        <v/>
      </c>
      <c r="G43" s="2539"/>
      <c r="H43" s="2536" t="str">
        <f ca="1">IF(ISBLANK(OFFSET($AP$2,H38,0)),"",OFFSET($AS$2,H38,0))</f>
        <v/>
      </c>
      <c r="I43" s="2537"/>
      <c r="J43" s="2538" t="str">
        <f ca="1">IF(ISBLANK(OFFSET($AP$2,H38,0)),"",OFFSET($AS$2,H38,0)-OFFSET($AY$2,H38,0))</f>
        <v/>
      </c>
      <c r="K43" s="2539"/>
      <c r="L43" s="2536" t="str">
        <f ca="1">IF(ISBLANK(OFFSET($AP$2,L38,0)),"",OFFSET($AS$2,L38,0))</f>
        <v/>
      </c>
      <c r="M43" s="2537"/>
      <c r="N43" s="2538" t="str">
        <f ca="1">IF(ISBLANK(OFFSET($AP$2,L38,0)),"",OFFSET($AS$2,L38,0)-OFFSET($AY$2,L38,0))</f>
        <v/>
      </c>
      <c r="O43" s="2539"/>
      <c r="P43" s="2536" t="str">
        <f ca="1">IF(ISBLANK(OFFSET($AP$2,P38,0)),"",OFFSET($AS$2,P38,0))</f>
        <v/>
      </c>
      <c r="Q43" s="2537"/>
      <c r="R43" s="2538" t="str">
        <f ca="1">IF(ISBLANK(OFFSET($AP$2,P38,0)),"",OFFSET($AS$2,P38,0)-OFFSET($AY$2,P38,0))</f>
        <v/>
      </c>
      <c r="S43" s="2539"/>
      <c r="T43" s="2536" t="str">
        <f ca="1">IF(ISBLANK(OFFSET($AP$2,T38,0)),"",OFFSET($AS$2,T38,0))</f>
        <v/>
      </c>
      <c r="U43" s="2537"/>
      <c r="V43" s="2538" t="str">
        <f ca="1">IF(ISBLANK(OFFSET($AP$2,T38,0)),"",OFFSET($AS$2,T38,0)-OFFSET($AY$2,T38,0))</f>
        <v/>
      </c>
      <c r="W43" s="2539"/>
      <c r="X43" s="2536" t="str">
        <f ca="1">IF(ISBLANK(OFFSET($AP$2,X38,0)),"",OFFSET($AS$2,X38,0))</f>
        <v/>
      </c>
      <c r="Y43" s="2537"/>
      <c r="Z43" s="2538" t="str">
        <f ca="1">IF(ISBLANK(OFFSET($AP$2,X38,0)),"",OFFSET($AS$2,X38,0)-OFFSET($AY$2,X38,0))</f>
        <v/>
      </c>
      <c r="AA43" s="2539"/>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6" t="str">
        <f ca="1">IF(ISBLANK(OFFSET($AP$2,D38,0)),"",OFFSET($AT$2,D38,0))</f>
        <v/>
      </c>
      <c r="E44" s="2537"/>
      <c r="F44" s="2538" t="str">
        <f ca="1">IF(ISBLANK(OFFSET($AP$2,D38,0)),"",OFFSET($AT$2,D38,0)-OFFSET($AZ$2,D38,0))</f>
        <v/>
      </c>
      <c r="G44" s="2539"/>
      <c r="H44" s="2536" t="str">
        <f ca="1">IF(ISBLANK(OFFSET($AP$2,H38,0)),"",OFFSET($AT$2,H38,0))</f>
        <v/>
      </c>
      <c r="I44" s="2537"/>
      <c r="J44" s="2538" t="str">
        <f ca="1">IF(ISBLANK(OFFSET($AP$2,H38,0)),"",OFFSET($AT$2,H38,0)-OFFSET($AZ$2,H38,0))</f>
        <v/>
      </c>
      <c r="K44" s="2539"/>
      <c r="L44" s="2536" t="str">
        <f ca="1">IF(ISBLANK(OFFSET($AP$2,L38,0)),"",OFFSET($AT$2,L38,0))</f>
        <v/>
      </c>
      <c r="M44" s="2537"/>
      <c r="N44" s="2538" t="str">
        <f ca="1">IF(ISBLANK(OFFSET($AP$2,L38,0)),"",OFFSET($AT$2,L38,0)-OFFSET($AZ$2,L38,0))</f>
        <v/>
      </c>
      <c r="O44" s="2539"/>
      <c r="P44" s="2536" t="str">
        <f ca="1">IF(ISBLANK(OFFSET($AP$2,P38,0)),"",OFFSET($AT$2,P38,0))</f>
        <v/>
      </c>
      <c r="Q44" s="2537"/>
      <c r="R44" s="2538" t="str">
        <f ca="1">IF(ISBLANK(OFFSET($AP$2,P38,0)),"",OFFSET($AT$2,P38,0)-OFFSET($AZ$2,P38,0))</f>
        <v/>
      </c>
      <c r="S44" s="2539"/>
      <c r="T44" s="2536" t="str">
        <f ca="1">IF(ISBLANK(OFFSET($AP$2,T38,0)),"",OFFSET($AT$2,T38,0))</f>
        <v/>
      </c>
      <c r="U44" s="2537"/>
      <c r="V44" s="2538" t="str">
        <f ca="1">IF(ISBLANK(OFFSET($AP$2,T38,0)),"",OFFSET($AT$2,T38,0)-OFFSET($AZ$2,T38,0))</f>
        <v/>
      </c>
      <c r="W44" s="2539"/>
      <c r="X44" s="2536" t="str">
        <f ca="1">IF(ISBLANK(OFFSET($AP$2,X38,0)),"",OFFSET($AT$2,X38,0))</f>
        <v/>
      </c>
      <c r="Y44" s="2537"/>
      <c r="Z44" s="2538" t="str">
        <f ca="1">IF(ISBLANK(OFFSET($AP$2,X38,0)),"",OFFSET($AT$2,X38,0)-OFFSET($AZ$2,X38,0))</f>
        <v/>
      </c>
      <c r="AA44" s="2539"/>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42" t="s">
        <v>439</v>
      </c>
      <c r="C45" s="2543"/>
      <c r="D45" s="2544" t="str">
        <f ca="1">IF(ISBLANK(OFFSET($AP$2,D38,0)),"",OFFSET($AV$2,D38,0))</f>
        <v/>
      </c>
      <c r="E45" s="2545"/>
      <c r="F45" s="2546" t="str">
        <f ca="1">IF(ISBLANK(OFFSET($AP$2,D38,0)),"",OFFSET($AV$2,D38,0)-OFFSET($BB$2,D38,0))</f>
        <v/>
      </c>
      <c r="G45" s="2547"/>
      <c r="H45" s="2544" t="str">
        <f ca="1">IF(ISBLANK(OFFSET($AP$2,H38,0)),"",OFFSET($AV$2,H38,0))</f>
        <v/>
      </c>
      <c r="I45" s="2545"/>
      <c r="J45" s="2546" t="str">
        <f ca="1">IF(ISBLANK(OFFSET($AP$2,H38,0)),"",OFFSET($AV$2,H38,0)-OFFSET($BB$2,H38,0))</f>
        <v/>
      </c>
      <c r="K45" s="2547"/>
      <c r="L45" s="2544" t="str">
        <f ca="1">IF(ISBLANK(OFFSET($AP$2,L38,0)),"",OFFSET($AV$2,L38,0))</f>
        <v/>
      </c>
      <c r="M45" s="2545"/>
      <c r="N45" s="2546" t="str">
        <f ca="1">IF(ISBLANK(OFFSET($AP$2,L38,0)),"",OFFSET($AV$2,L38,0)-OFFSET($BB$2,L38,0))</f>
        <v/>
      </c>
      <c r="O45" s="2547"/>
      <c r="P45" s="2544" t="str">
        <f ca="1">IF(ISBLANK(OFFSET($AP$2,P38,0)),"",OFFSET($AV$2,P38,0))</f>
        <v/>
      </c>
      <c r="Q45" s="2545"/>
      <c r="R45" s="2546" t="str">
        <f ca="1">IF(ISBLANK(OFFSET($AP$2,P38,0)),"",OFFSET($AV$2,P38,0)-OFFSET($BB$2,P38,0))</f>
        <v/>
      </c>
      <c r="S45" s="2547"/>
      <c r="T45" s="2544" t="str">
        <f ca="1">IF(ISBLANK(OFFSET($AP$2,T38,0)),"",OFFSET($AV$2,T38,0))</f>
        <v/>
      </c>
      <c r="U45" s="2545"/>
      <c r="V45" s="2546" t="str">
        <f ca="1">IF(ISBLANK(OFFSET($AP$2,T38,0)),"",OFFSET($AV$2,T38,0)-OFFSET($BB$2,T38,0))</f>
        <v/>
      </c>
      <c r="W45" s="2547"/>
      <c r="X45" s="2544" t="str">
        <f ca="1">IF(ISBLANK(OFFSET($AP$2,X38,0)),"",OFFSET($AV$2,X38,0))</f>
        <v/>
      </c>
      <c r="Y45" s="2545"/>
      <c r="Z45" s="2546" t="str">
        <f ca="1">IF(ISBLANK(OFFSET($AP$2,X38,0)),"",OFFSET($AV$2,X38,0)-OFFSET($BB$2,X38,0))</f>
        <v/>
      </c>
      <c r="AA45" s="2547"/>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48" t="str">
        <f ca="1">IF(ISBLANK(OFFSET($AP$2,D46,0)),"",CONCATENATE("Seq. ",OFFSET($AP$2,D46,0)))</f>
        <v/>
      </c>
      <c r="E47" s="2549"/>
      <c r="F47" s="2549"/>
      <c r="G47" s="2550"/>
      <c r="H47" s="2548" t="str">
        <f ca="1">IF(ISBLANK(OFFSET($AP$2,H46,0)),"",CONCATENATE("Seq. ",OFFSET($AP$2,H46,0)))</f>
        <v/>
      </c>
      <c r="I47" s="2549"/>
      <c r="J47" s="2549"/>
      <c r="K47" s="2550"/>
      <c r="L47" s="2548" t="str">
        <f ca="1">IF(ISBLANK(OFFSET($AP$2,L46,0)),"",CONCATENATE("Seq. ",OFFSET($AP$2,L46,0)))</f>
        <v/>
      </c>
      <c r="M47" s="2549"/>
      <c r="N47" s="2549"/>
      <c r="O47" s="2550"/>
      <c r="P47" s="2548" t="str">
        <f ca="1">IF(ISBLANK(OFFSET($AP$2,P46,0)),"",CONCATENATE("Seq. ",OFFSET($AP$2,P46,0)))</f>
        <v/>
      </c>
      <c r="Q47" s="2549"/>
      <c r="R47" s="2549"/>
      <c r="S47" s="2550"/>
      <c r="T47" s="2548" t="str">
        <f ca="1">IF(ISBLANK(OFFSET($AP$2,T46,0)),"",CONCATENATE("Seq. ",OFFSET($AP$2,T46,0)))</f>
        <v/>
      </c>
      <c r="U47" s="2549"/>
      <c r="V47" s="2549"/>
      <c r="W47" s="2550"/>
      <c r="X47" s="2548" t="str">
        <f ca="1">IF(ISBLANK(OFFSET($AP$2,X46,0)),"",CONCATENATE("Seq. ",OFFSET($AP$2,X46,0)))</f>
        <v/>
      </c>
      <c r="Y47" s="2549"/>
      <c r="Z47" s="2549"/>
      <c r="AA47" s="2550"/>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51" t="s">
        <v>440</v>
      </c>
      <c r="E48" s="2552"/>
      <c r="F48" s="2552" t="s">
        <v>441</v>
      </c>
      <c r="G48" s="2553"/>
      <c r="H48" s="2551" t="s">
        <v>440</v>
      </c>
      <c r="I48" s="2552"/>
      <c r="J48" s="2552" t="s">
        <v>441</v>
      </c>
      <c r="K48" s="2553"/>
      <c r="L48" s="2551" t="s">
        <v>440</v>
      </c>
      <c r="M48" s="2552"/>
      <c r="N48" s="2552" t="s">
        <v>441</v>
      </c>
      <c r="O48" s="2553"/>
      <c r="P48" s="2551" t="s">
        <v>440</v>
      </c>
      <c r="Q48" s="2552"/>
      <c r="R48" s="2552" t="s">
        <v>441</v>
      </c>
      <c r="S48" s="2553"/>
      <c r="T48" s="2551" t="s">
        <v>440</v>
      </c>
      <c r="U48" s="2552"/>
      <c r="V48" s="2552" t="s">
        <v>441</v>
      </c>
      <c r="W48" s="2553"/>
      <c r="X48" s="2551" t="s">
        <v>440</v>
      </c>
      <c r="Y48" s="2552"/>
      <c r="Z48" s="2552" t="s">
        <v>441</v>
      </c>
      <c r="AA48" s="2553"/>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54" t="s">
        <v>73</v>
      </c>
      <c r="C49" s="2555"/>
      <c r="D49" s="2536" t="str">
        <f ca="1">IF(ISBLANK(OFFSET($AP$2,D46,0)),"",OFFSET($AQ$2,D46,0)+OFFSET($AU$2,D46,0))</f>
        <v/>
      </c>
      <c r="E49" s="2537"/>
      <c r="F49" s="2538" t="str">
        <f ca="1">IF(ISBLANK(OFFSET($AP$2,D46,0)),"",(OFFSET($AQ$2,D46,0)+OFFSET($AU$2,D46,0))-(OFFSET($AW$2,D46,0)+OFFSET($BA$2,D46,0)))</f>
        <v/>
      </c>
      <c r="G49" s="2539"/>
      <c r="H49" s="2536" t="str">
        <f ca="1">IF(ISBLANK(OFFSET($AP$2,H46,0)),"",OFFSET($AQ$2,H46,0)+OFFSET($AU$2,H46,0))</f>
        <v/>
      </c>
      <c r="I49" s="2537"/>
      <c r="J49" s="2538" t="str">
        <f ca="1">IF(ISBLANK(OFFSET($AP$2,H46,0)),"",(OFFSET($AQ$2,H46,0)+OFFSET($AU$2,H46,0))-(OFFSET($AW$2,H46,0)+OFFSET($BA$2,H46,0)))</f>
        <v/>
      </c>
      <c r="K49" s="2539"/>
      <c r="L49" s="2536" t="str">
        <f ca="1">IF(ISBLANK(OFFSET($AP$2,L46,0)),"",OFFSET($AQ$2,L46,0)+OFFSET($AU$2,L46,0))</f>
        <v/>
      </c>
      <c r="M49" s="2537"/>
      <c r="N49" s="2538" t="str">
        <f ca="1">IF(ISBLANK(OFFSET($AP$2,L46,0)),"",(OFFSET($AQ$2,L46,0)+OFFSET($AU$2,L46,0))-(OFFSET($AW$2,L46,0)+OFFSET($BA$2,L46,0)))</f>
        <v/>
      </c>
      <c r="O49" s="2539"/>
      <c r="P49" s="2536" t="str">
        <f ca="1">IF(ISBLANK(OFFSET($AP$2,P46,0)),"",OFFSET($AQ$2,P46,0)+OFFSET($AU$2,P46,0))</f>
        <v/>
      </c>
      <c r="Q49" s="2537"/>
      <c r="R49" s="2538" t="str">
        <f ca="1">IF(ISBLANK(OFFSET($AP$2,P46,0)),"",(OFFSET($AQ$2,P46,0)+OFFSET($AU$2,P46,0))-(OFFSET($AW$2,P46,0)+OFFSET($BA$2,P46,0)))</f>
        <v/>
      </c>
      <c r="S49" s="2539"/>
      <c r="T49" s="2536" t="str">
        <f ca="1">IF(ISBLANK(OFFSET($AP$2,T46,0)),"",OFFSET($AQ$2,T46,0)+OFFSET($AU$2,T46,0))</f>
        <v/>
      </c>
      <c r="U49" s="2537"/>
      <c r="V49" s="2538" t="str">
        <f ca="1">IF(ISBLANK(OFFSET($AP$2,T46,0)),"",(OFFSET($AQ$2,T46,0)+OFFSET($AU$2,T46,0))-(OFFSET($AW$2,T46,0)+OFFSET($BA$2,T46,0)))</f>
        <v/>
      </c>
      <c r="W49" s="2539"/>
      <c r="X49" s="2536" t="str">
        <f ca="1">IF(ISBLANK(OFFSET($AP$2,X46,0)),"",OFFSET($AQ$2,X46,0)+OFFSET($AU$2,X46,0))</f>
        <v/>
      </c>
      <c r="Y49" s="2537"/>
      <c r="Z49" s="2538" t="str">
        <f ca="1">IF(ISBLANK(OFFSET($AP$2,X46,0)),"",(OFFSET($AQ$2,X46,0)+OFFSET($AU$2,X46,0))-(OFFSET($AW$2,X46,0)+OFFSET($BA$2,X46,0)))</f>
        <v/>
      </c>
      <c r="AA49" s="2539"/>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6" t="str">
        <f ca="1">IF(ISBLANK(OFFSET($AP$2,D46,0)),"",OFFSET($AR$2,D46,0))</f>
        <v/>
      </c>
      <c r="E50" s="2537"/>
      <c r="F50" s="2538" t="str">
        <f ca="1">IF(ISBLANK(OFFSET($AP$2,D46,0)),"",OFFSET($AR$2,D46,0)-OFFSET($AX$2,D46,0))</f>
        <v/>
      </c>
      <c r="G50" s="2539"/>
      <c r="H50" s="2536" t="str">
        <f ca="1">IF(ISBLANK(OFFSET($AP$2,H46,0)),"",OFFSET($AR$2,H46,0))</f>
        <v/>
      </c>
      <c r="I50" s="2537"/>
      <c r="J50" s="2538" t="str">
        <f ca="1">IF(ISBLANK(OFFSET($AP$2,H46,0)),"",OFFSET($AR$2,H46,0)-OFFSET($AX$2,H46,0))</f>
        <v/>
      </c>
      <c r="K50" s="2539"/>
      <c r="L50" s="2536" t="str">
        <f ca="1">IF(ISBLANK(OFFSET($AP$2,L46,0)),"",OFFSET($AR$2,L46,0))</f>
        <v/>
      </c>
      <c r="M50" s="2537"/>
      <c r="N50" s="2538" t="str">
        <f ca="1">IF(ISBLANK(OFFSET($AP$2,L46,0)),"",OFFSET($AR$2,L46,0)-OFFSET($AX$2,L46,0))</f>
        <v/>
      </c>
      <c r="O50" s="2539"/>
      <c r="P50" s="2536" t="str">
        <f ca="1">IF(ISBLANK(OFFSET($AP$2,P46,0)),"",OFFSET($AR$2,P46,0))</f>
        <v/>
      </c>
      <c r="Q50" s="2537"/>
      <c r="R50" s="2538" t="str">
        <f ca="1">IF(ISBLANK(OFFSET($AP$2,P46,0)),"",OFFSET($AR$2,P46,0)-OFFSET($AX$2,P46,0))</f>
        <v/>
      </c>
      <c r="S50" s="2539"/>
      <c r="T50" s="2536" t="str">
        <f ca="1">IF(ISBLANK(OFFSET($AP$2,T46,0)),"",OFFSET($AR$2,T46,0))</f>
        <v/>
      </c>
      <c r="U50" s="2537"/>
      <c r="V50" s="2538" t="str">
        <f ca="1">IF(ISBLANK(OFFSET($AP$2,T46,0)),"",OFFSET($AR$2,T46,0)-OFFSET($AX$2,T46,0))</f>
        <v/>
      </c>
      <c r="W50" s="2539"/>
      <c r="X50" s="2536" t="str">
        <f ca="1">IF(ISBLANK(OFFSET($AP$2,X46,0)),"",OFFSET($AR$2,X46,0))</f>
        <v/>
      </c>
      <c r="Y50" s="2537"/>
      <c r="Z50" s="2538" t="str">
        <f ca="1">IF(ISBLANK(OFFSET($AP$2,X46,0)),"",OFFSET($AR$2,X46,0)-OFFSET($AX$2,X46,0))</f>
        <v/>
      </c>
      <c r="AA50" s="2539"/>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6" t="str">
        <f ca="1">IF(ISBLANK(OFFSET($AP$2,D46,0)),"",OFFSET($AS$2,D46,0))</f>
        <v/>
      </c>
      <c r="E51" s="2537"/>
      <c r="F51" s="2538" t="str">
        <f ca="1">IF(ISBLANK(OFFSET($AP$2,D46,0)),"",OFFSET($AS$2,D46,0)-OFFSET($AY$2,D46,0))</f>
        <v/>
      </c>
      <c r="G51" s="2539"/>
      <c r="H51" s="2536" t="str">
        <f ca="1">IF(ISBLANK(OFFSET($AP$2,H46,0)),"",OFFSET($AS$2,H46,0))</f>
        <v/>
      </c>
      <c r="I51" s="2537"/>
      <c r="J51" s="2538" t="str">
        <f ca="1">IF(ISBLANK(OFFSET($AP$2,H46,0)),"",OFFSET($AS$2,H46,0)-OFFSET($AY$2,H46,0))</f>
        <v/>
      </c>
      <c r="K51" s="2539"/>
      <c r="L51" s="2536" t="str">
        <f ca="1">IF(ISBLANK(OFFSET($AP$2,L46,0)),"",OFFSET($AS$2,L46,0))</f>
        <v/>
      </c>
      <c r="M51" s="2537"/>
      <c r="N51" s="2538" t="str">
        <f ca="1">IF(ISBLANK(OFFSET($AP$2,L46,0)),"",OFFSET($AS$2,L46,0)-OFFSET($AY$2,L46,0))</f>
        <v/>
      </c>
      <c r="O51" s="2539"/>
      <c r="P51" s="2536" t="str">
        <f ca="1">IF(ISBLANK(OFFSET($AP$2,P46,0)),"",OFFSET($AS$2,P46,0))</f>
        <v/>
      </c>
      <c r="Q51" s="2537"/>
      <c r="R51" s="2538" t="str">
        <f ca="1">IF(ISBLANK(OFFSET($AP$2,P46,0)),"",OFFSET($AS$2,P46,0)-OFFSET($AY$2,P46,0))</f>
        <v/>
      </c>
      <c r="S51" s="2539"/>
      <c r="T51" s="2536" t="str">
        <f ca="1">IF(ISBLANK(OFFSET($AP$2,T46,0)),"",OFFSET($AS$2,T46,0))</f>
        <v/>
      </c>
      <c r="U51" s="2537"/>
      <c r="V51" s="2538" t="str">
        <f ca="1">IF(ISBLANK(OFFSET($AP$2,T46,0)),"",OFFSET($AS$2,T46,0)-OFFSET($AY$2,T46,0))</f>
        <v/>
      </c>
      <c r="W51" s="2539"/>
      <c r="X51" s="2536" t="str">
        <f ca="1">IF(ISBLANK(OFFSET($AP$2,X46,0)),"",OFFSET($AS$2,X46,0))</f>
        <v/>
      </c>
      <c r="Y51" s="2537"/>
      <c r="Z51" s="2538" t="str">
        <f ca="1">IF(ISBLANK(OFFSET($AP$2,X46,0)),"",OFFSET($AS$2,X46,0)-OFFSET($AY$2,X46,0))</f>
        <v/>
      </c>
      <c r="AA51" s="2539"/>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6" t="str">
        <f ca="1">IF(ISBLANK(OFFSET($AP$2,D46,0)),"",OFFSET($AT$2,D46,0))</f>
        <v/>
      </c>
      <c r="E52" s="2537"/>
      <c r="F52" s="2538" t="str">
        <f ca="1">IF(ISBLANK(OFFSET($AP$2,D46,0)),"",OFFSET($AT$2,D46,0)-OFFSET($AZ$2,D46,0))</f>
        <v/>
      </c>
      <c r="G52" s="2539"/>
      <c r="H52" s="2536" t="str">
        <f ca="1">IF(ISBLANK(OFFSET($AP$2,H46,0)),"",OFFSET($AT$2,H46,0))</f>
        <v/>
      </c>
      <c r="I52" s="2537"/>
      <c r="J52" s="2538" t="str">
        <f ca="1">IF(ISBLANK(OFFSET($AP$2,H46,0)),"",OFFSET($AT$2,H46,0)-OFFSET($AZ$2,H46,0))</f>
        <v/>
      </c>
      <c r="K52" s="2539"/>
      <c r="L52" s="2536" t="str">
        <f ca="1">IF(ISBLANK(OFFSET($AP$2,L46,0)),"",OFFSET($AT$2,L46,0))</f>
        <v/>
      </c>
      <c r="M52" s="2537"/>
      <c r="N52" s="2538" t="str">
        <f ca="1">IF(ISBLANK(OFFSET($AP$2,L46,0)),"",OFFSET($AT$2,L46,0)-OFFSET($AZ$2,L46,0))</f>
        <v/>
      </c>
      <c r="O52" s="2539"/>
      <c r="P52" s="2536" t="str">
        <f ca="1">IF(ISBLANK(OFFSET($AP$2,P46,0)),"",OFFSET($AT$2,P46,0))</f>
        <v/>
      </c>
      <c r="Q52" s="2537"/>
      <c r="R52" s="2538" t="str">
        <f ca="1">IF(ISBLANK(OFFSET($AP$2,P46,0)),"",OFFSET($AT$2,P46,0)-OFFSET($AZ$2,P46,0))</f>
        <v/>
      </c>
      <c r="S52" s="2539"/>
      <c r="T52" s="2536" t="str">
        <f ca="1">IF(ISBLANK(OFFSET($AP$2,T46,0)),"",OFFSET($AT$2,T46,0))</f>
        <v/>
      </c>
      <c r="U52" s="2537"/>
      <c r="V52" s="2538" t="str">
        <f ca="1">IF(ISBLANK(OFFSET($AP$2,T46,0)),"",OFFSET($AT$2,T46,0)-OFFSET($AZ$2,T46,0))</f>
        <v/>
      </c>
      <c r="W52" s="2539"/>
      <c r="X52" s="2536" t="str">
        <f ca="1">IF(ISBLANK(OFFSET($AP$2,X46,0)),"",OFFSET($AT$2,X46,0))</f>
        <v/>
      </c>
      <c r="Y52" s="2537"/>
      <c r="Z52" s="2538" t="str">
        <f ca="1">IF(ISBLANK(OFFSET($AP$2,X46,0)),"",OFFSET($AT$2,X46,0)-OFFSET($AZ$2,X46,0))</f>
        <v/>
      </c>
      <c r="AA52" s="2539"/>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42" t="s">
        <v>439</v>
      </c>
      <c r="C53" s="2543"/>
      <c r="D53" s="2544" t="str">
        <f ca="1">IF(ISBLANK(OFFSET($AP$2,D46,0)),"",OFFSET($AV$2,D46,0))</f>
        <v/>
      </c>
      <c r="E53" s="2545"/>
      <c r="F53" s="2546" t="str">
        <f ca="1">IF(ISBLANK(OFFSET($AP$2,D46,0)),"",OFFSET($AV$2,D46,0)-OFFSET($BB$2,D46,0))</f>
        <v/>
      </c>
      <c r="G53" s="2547"/>
      <c r="H53" s="2544" t="str">
        <f ca="1">IF(ISBLANK(OFFSET($AP$2,H46,0)),"",OFFSET($AV$2,H46,0))</f>
        <v/>
      </c>
      <c r="I53" s="2545"/>
      <c r="J53" s="2546" t="str">
        <f ca="1">IF(ISBLANK(OFFSET($AP$2,H46,0)),"",OFFSET($AV$2,H46,0)-OFFSET($BB$2,H46,0))</f>
        <v/>
      </c>
      <c r="K53" s="2547"/>
      <c r="L53" s="2544" t="str">
        <f ca="1">IF(ISBLANK(OFFSET($AP$2,L46,0)),"",OFFSET($AV$2,L46,0))</f>
        <v/>
      </c>
      <c r="M53" s="2545"/>
      <c r="N53" s="2546" t="str">
        <f ca="1">IF(ISBLANK(OFFSET($AP$2,L46,0)),"",OFFSET($AV$2,L46,0)-OFFSET($BB$2,L46,0))</f>
        <v/>
      </c>
      <c r="O53" s="2547"/>
      <c r="P53" s="2544" t="str">
        <f ca="1">IF(ISBLANK(OFFSET($AP$2,P46,0)),"",OFFSET($AV$2,P46,0))</f>
        <v/>
      </c>
      <c r="Q53" s="2545"/>
      <c r="R53" s="2546" t="str">
        <f ca="1">IF(ISBLANK(OFFSET($AP$2,P46,0)),"",OFFSET($AV$2,P46,0)-OFFSET($BB$2,P46,0))</f>
        <v/>
      </c>
      <c r="S53" s="2547"/>
      <c r="T53" s="2544" t="str">
        <f ca="1">IF(ISBLANK(OFFSET($AP$2,T46,0)),"",OFFSET($AV$2,T46,0))</f>
        <v/>
      </c>
      <c r="U53" s="2545"/>
      <c r="V53" s="2546" t="str">
        <f ca="1">IF(ISBLANK(OFFSET($AP$2,T46,0)),"",OFFSET($AV$2,T46,0)-OFFSET($BB$2,T46,0))</f>
        <v/>
      </c>
      <c r="W53" s="2547"/>
      <c r="X53" s="2544" t="str">
        <f ca="1">IF(ISBLANK(OFFSET($AP$2,X46,0)),"",OFFSET($AV$2,X46,0))</f>
        <v/>
      </c>
      <c r="Y53" s="2545"/>
      <c r="Z53" s="2546" t="str">
        <f ca="1">IF(ISBLANK(OFFSET($AP$2,X46,0)),"",OFFSET($AV$2,X46,0)-OFFSET($BB$2,X46,0))</f>
        <v/>
      </c>
      <c r="AA53" s="2547"/>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60" t="str">
        <f ca="1">X1</f>
        <v>775-428-0600</v>
      </c>
      <c r="Y55" s="2560"/>
      <c r="Z55" s="2560"/>
      <c r="AA55" s="2560"/>
      <c r="AB55" s="2560"/>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60" t="str">
        <f ca="1">X2</f>
        <v>775-867-2140</v>
      </c>
      <c r="Y56" s="2560"/>
      <c r="Z56" s="2560"/>
      <c r="AA56" s="2560"/>
      <c r="AB56" s="2560"/>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60" t="str">
        <f ca="1">X3</f>
        <v>775-867-2169</v>
      </c>
      <c r="Y57" s="2560"/>
      <c r="Z57" s="2560"/>
      <c r="AA57" s="2560"/>
      <c r="AB57" s="2560"/>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60" t="str">
        <f ca="1">X4</f>
        <v>775-867-2060</v>
      </c>
      <c r="Y58" s="2560"/>
      <c r="Z58" s="2560"/>
      <c r="AA58" s="2560"/>
      <c r="AB58" s="2560"/>
      <c r="AP58" s="54"/>
      <c r="AQ58" s="54"/>
      <c r="AR58" s="54"/>
      <c r="AS58" s="54"/>
      <c r="AT58" s="54"/>
      <c r="AU58" s="54"/>
      <c r="AV58" s="76"/>
      <c r="AW58" s="77"/>
      <c r="AX58" s="54"/>
      <c r="AY58" s="54"/>
      <c r="AZ58" s="54"/>
      <c r="BA58" s="54"/>
      <c r="BB58" s="54"/>
    </row>
    <row r="59" spans="1:54" ht="12.95" hidden="1" customHeight="1" x14ac:dyDescent="0.2">
      <c r="A59" s="1818" t="str">
        <f ca="1">A5</f>
        <v>8200 Woolery Way | Fallon, NV 89406 | www.newmill.com</v>
      </c>
      <c r="B59" s="1818"/>
      <c r="C59" s="1818"/>
      <c r="D59" s="1818"/>
      <c r="E59" s="1818"/>
      <c r="F59" s="1818"/>
      <c r="G59" s="1818"/>
      <c r="H59" s="1818"/>
      <c r="I59" s="1818"/>
      <c r="J59" s="1818"/>
      <c r="K59" s="1818"/>
      <c r="L59" s="1818"/>
      <c r="M59" s="1818"/>
      <c r="N59" s="1818"/>
      <c r="O59" s="1818"/>
      <c r="P59"/>
      <c r="Q59"/>
      <c r="R59" s="39"/>
      <c r="S59"/>
      <c r="T59"/>
      <c r="U59"/>
      <c r="V59"/>
      <c r="W59"/>
      <c r="X59" s="50" t="s">
        <v>421</v>
      </c>
      <c r="Y59" s="2565">
        <f>Y5</f>
        <v>45048.61509259259</v>
      </c>
      <c r="Z59" s="2566"/>
      <c r="AA59" s="2566"/>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7"/>
      <c r="Z60" s="2568"/>
      <c r="AA60" s="2568"/>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9"/>
      <c r="Z61" s="2144"/>
      <c r="AA61" s="214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2"/>
      <c r="Z62" s="2563"/>
      <c r="AA62" s="2563"/>
      <c r="AB62"/>
      <c r="AP62" s="54"/>
      <c r="AQ62" s="54"/>
      <c r="AR62" s="54"/>
      <c r="AS62" s="54"/>
      <c r="AT62" s="54"/>
      <c r="AU62" s="54"/>
      <c r="AV62" s="76"/>
      <c r="AW62" s="77"/>
      <c r="AX62" s="54"/>
      <c r="AY62" s="54"/>
      <c r="AZ62" s="54"/>
      <c r="BA62" s="54"/>
      <c r="BB62" s="54"/>
    </row>
    <row r="63" spans="1:54" ht="12.95" hidden="1" customHeight="1" x14ac:dyDescent="0.2">
      <c r="A63" s="2556" t="s">
        <v>1</v>
      </c>
      <c r="B63" s="2268"/>
      <c r="C63" s="2268"/>
      <c r="D63" s="2557" t="str">
        <f>D9</f>
        <v>MINDEN UPS BLDG 1</v>
      </c>
      <c r="E63" s="2557"/>
      <c r="F63" s="2557"/>
      <c r="G63" s="2557"/>
      <c r="H63" s="2557"/>
      <c r="I63" s="2557"/>
      <c r="J63" s="2557"/>
      <c r="K63" s="2557"/>
      <c r="L63" s="2557"/>
      <c r="M63" s="2557"/>
      <c r="N63" s="2557"/>
      <c r="O63" s="2557"/>
      <c r="P63" s="2558"/>
      <c r="Q63" s="96"/>
      <c r="R63" s="20" t="s">
        <v>2</v>
      </c>
      <c r="S63" s="2564" t="str">
        <f>S9</f>
        <v>NN22-0071</v>
      </c>
      <c r="T63" s="2268"/>
      <c r="U63" s="2268"/>
      <c r="V63" s="2268"/>
      <c r="W63" s="2268"/>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6" t="s">
        <v>3</v>
      </c>
      <c r="B64" s="2268"/>
      <c r="C64" s="2268"/>
      <c r="D64" s="2557" t="str">
        <f>D10</f>
        <v>MINDEN, NV</v>
      </c>
      <c r="E64" s="2557"/>
      <c r="F64" s="2557"/>
      <c r="G64" s="2557"/>
      <c r="H64" s="2557"/>
      <c r="I64" s="2557"/>
      <c r="J64" s="2557"/>
      <c r="K64" s="2557"/>
      <c r="L64" s="2557"/>
      <c r="M64" s="2557"/>
      <c r="N64" s="2557"/>
      <c r="O64" s="2557"/>
      <c r="P64" s="2558"/>
      <c r="Q64" s="96"/>
      <c r="R64" s="20" t="s">
        <v>428</v>
      </c>
      <c r="S64" s="2559" t="str">
        <f>S10</f>
        <v>JMM</v>
      </c>
      <c r="T64" s="2268"/>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48" t="str">
        <f ca="1">IF(ISBLANK(OFFSET($AP$2,D65,0)),"",CONCATENATE("Seq. ",OFFSET($AP$2,D65,0)))</f>
        <v/>
      </c>
      <c r="E66" s="2549"/>
      <c r="F66" s="2549"/>
      <c r="G66" s="2550"/>
      <c r="H66" s="2548" t="str">
        <f ca="1">IF(ISBLANK(OFFSET($AP$2,H65,0)),"",CONCATENATE("Seq. ",OFFSET($AP$2,H65,0)))</f>
        <v/>
      </c>
      <c r="I66" s="2549"/>
      <c r="J66" s="2549"/>
      <c r="K66" s="2550"/>
      <c r="L66" s="2548" t="str">
        <f ca="1">IF(ISBLANK(OFFSET($AP$2,L65,0)),"",CONCATENATE("Seq. ",OFFSET($AP$2,L65,0)))</f>
        <v/>
      </c>
      <c r="M66" s="2549"/>
      <c r="N66" s="2549"/>
      <c r="O66" s="2550"/>
      <c r="P66" s="2548" t="str">
        <f ca="1">IF(ISBLANK(OFFSET($AP$2,P65,0)),"",CONCATENATE("Seq. ",OFFSET($AP$2,P65,0)))</f>
        <v/>
      </c>
      <c r="Q66" s="2549"/>
      <c r="R66" s="2549"/>
      <c r="S66" s="2550"/>
      <c r="T66" s="2548" t="str">
        <f ca="1">IF(ISBLANK(OFFSET($AP$2,T65,0)),"",CONCATENATE("Seq. ",OFFSET($AP$2,T65,0)))</f>
        <v/>
      </c>
      <c r="U66" s="2549"/>
      <c r="V66" s="2549"/>
      <c r="W66" s="2550"/>
      <c r="X66" s="2548" t="str">
        <f ca="1">IF(ISBLANK(OFFSET($AP$2,X65,0)),"",CONCATENATE("Seq. ",OFFSET($AP$2,X65,0)))</f>
        <v/>
      </c>
      <c r="Y66" s="2549"/>
      <c r="Z66" s="2549"/>
      <c r="AA66" s="2550"/>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51" t="s">
        <v>440</v>
      </c>
      <c r="E67" s="2552"/>
      <c r="F67" s="2552" t="s">
        <v>441</v>
      </c>
      <c r="G67" s="2553"/>
      <c r="H67" s="2551" t="s">
        <v>440</v>
      </c>
      <c r="I67" s="2552"/>
      <c r="J67" s="2552" t="s">
        <v>441</v>
      </c>
      <c r="K67" s="2553"/>
      <c r="L67" s="2551" t="s">
        <v>440</v>
      </c>
      <c r="M67" s="2552"/>
      <c r="N67" s="2552" t="s">
        <v>441</v>
      </c>
      <c r="O67" s="2553"/>
      <c r="P67" s="2551" t="s">
        <v>440</v>
      </c>
      <c r="Q67" s="2552"/>
      <c r="R67" s="2552" t="s">
        <v>441</v>
      </c>
      <c r="S67" s="2553"/>
      <c r="T67" s="2551" t="s">
        <v>440</v>
      </c>
      <c r="U67" s="2552"/>
      <c r="V67" s="2552" t="s">
        <v>441</v>
      </c>
      <c r="W67" s="2553"/>
      <c r="X67" s="2551" t="s">
        <v>440</v>
      </c>
      <c r="Y67" s="2552"/>
      <c r="Z67" s="2552" t="s">
        <v>441</v>
      </c>
      <c r="AA67" s="2553"/>
      <c r="AB67" s="57"/>
      <c r="AP67" s="54"/>
      <c r="AQ67" s="54"/>
      <c r="AR67" s="54"/>
      <c r="AS67" s="54"/>
      <c r="AT67" s="54"/>
      <c r="AU67" s="54"/>
      <c r="AV67" s="76"/>
      <c r="AW67" s="77"/>
      <c r="AX67" s="54"/>
      <c r="AY67" s="54"/>
      <c r="AZ67" s="54"/>
      <c r="BA67" s="54"/>
      <c r="BB67" s="54"/>
    </row>
    <row r="68" spans="1:54" ht="12.95" hidden="1" customHeight="1" x14ac:dyDescent="0.2">
      <c r="A68" s="57"/>
      <c r="B68" s="2554" t="s">
        <v>73</v>
      </c>
      <c r="C68" s="2555"/>
      <c r="D68" s="2536" t="str">
        <f ca="1">IF(ISBLANK(OFFSET($AP$2,D65,0)),"",OFFSET($AQ$2,D65,0)+OFFSET($AU$2,D65,0))</f>
        <v/>
      </c>
      <c r="E68" s="2537"/>
      <c r="F68" s="2538" t="str">
        <f ca="1">IF(ISBLANK(OFFSET($AP$2,D65,0)),"",(OFFSET($AQ$2,D65,0)+OFFSET($AU$2,D65,0))-(OFFSET($AW$2,D65,0)+OFFSET($BA$2,D65,0)))</f>
        <v/>
      </c>
      <c r="G68" s="2539"/>
      <c r="H68" s="2536" t="str">
        <f ca="1">IF(ISBLANK(OFFSET($AP$2,H65,0)),"",OFFSET($AQ$2,H65,0)+OFFSET($AU$2,H65,0))</f>
        <v/>
      </c>
      <c r="I68" s="2537"/>
      <c r="J68" s="2538" t="str">
        <f ca="1">IF(ISBLANK(OFFSET($AP$2,H65,0)),"",(OFFSET($AQ$2,H65,0)+OFFSET($AU$2,H65,0))-(OFFSET($AW$2,H65,0)+OFFSET($BA$2,H65,0)))</f>
        <v/>
      </c>
      <c r="K68" s="2539"/>
      <c r="L68" s="2536" t="str">
        <f ca="1">IF(ISBLANK(OFFSET($AP$2,L65,0)),"",OFFSET($AQ$2,L65,0)+OFFSET($AU$2,L65,0))</f>
        <v/>
      </c>
      <c r="M68" s="2537"/>
      <c r="N68" s="2538" t="str">
        <f ca="1">IF(ISBLANK(OFFSET($AP$2,L65,0)),"",(OFFSET($AQ$2,L65,0)+OFFSET($AU$2,L65,0))-(OFFSET($AW$2,L65,0)+OFFSET($BA$2,L65,0)))</f>
        <v/>
      </c>
      <c r="O68" s="2539"/>
      <c r="P68" s="2536" t="str">
        <f ca="1">IF(ISBLANK(OFFSET($AP$2,P65,0)),"",OFFSET($AQ$2,P65,0)+OFFSET($AU$2,P65,0))</f>
        <v/>
      </c>
      <c r="Q68" s="2537"/>
      <c r="R68" s="2538" t="str">
        <f ca="1">IF(ISBLANK(OFFSET($AP$2,P65,0)),"",(OFFSET($AQ$2,P65,0)+OFFSET($AU$2,P65,0))-(OFFSET($AW$2,P65,0)+OFFSET($BA$2,P65,0)))</f>
        <v/>
      </c>
      <c r="S68" s="2539"/>
      <c r="T68" s="2536" t="str">
        <f ca="1">IF(ISBLANK(OFFSET($AP$2,T65,0)),"",OFFSET($AQ$2,T65,0)+OFFSET($AU$2,T65,0))</f>
        <v/>
      </c>
      <c r="U68" s="2537"/>
      <c r="V68" s="2538" t="str">
        <f ca="1">IF(ISBLANK(OFFSET($AP$2,T65,0)),"",(OFFSET($AQ$2,T65,0)+OFFSET($AU$2,T65,0))-(OFFSET($AW$2,T65,0)+OFFSET($BA$2,T65,0)))</f>
        <v/>
      </c>
      <c r="W68" s="2539"/>
      <c r="X68" s="2536" t="str">
        <f ca="1">IF(ISBLANK(OFFSET($AP$2,X65,0)),"",OFFSET($AQ$2,X65,0)+OFFSET($AU$2,X65,0))</f>
        <v/>
      </c>
      <c r="Y68" s="2537"/>
      <c r="Z68" s="2538" t="str">
        <f ca="1">IF(ISBLANK(OFFSET($AP$2,X65,0)),"",(OFFSET($AQ$2,X65,0)+OFFSET($AU$2,X65,0))-(OFFSET($AW$2,X65,0)+OFFSET($BA$2,X65,0)))</f>
        <v/>
      </c>
      <c r="AA68" s="2539"/>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6" t="str">
        <f ca="1">IF(ISBLANK(OFFSET($AP$2,D65,0)),"",OFFSET($AR$2,D65,0))</f>
        <v/>
      </c>
      <c r="E69" s="2537"/>
      <c r="F69" s="2538" t="str">
        <f ca="1">IF(ISBLANK(OFFSET($AP$2,D65,0)),"",OFFSET($AR$2,D65,0)-OFFSET($AX$2,D65,0))</f>
        <v/>
      </c>
      <c r="G69" s="2539"/>
      <c r="H69" s="2536" t="str">
        <f ca="1">IF(ISBLANK(OFFSET($AP$2,H65,0)),"",OFFSET($AR$2,H65,0))</f>
        <v/>
      </c>
      <c r="I69" s="2537"/>
      <c r="J69" s="2538" t="str">
        <f ca="1">IF(ISBLANK(OFFSET($AP$2,H65,0)),"",OFFSET($AR$2,H65,0)-OFFSET($AX$2,H65,0))</f>
        <v/>
      </c>
      <c r="K69" s="2539"/>
      <c r="L69" s="2536" t="str">
        <f ca="1">IF(ISBLANK(OFFSET($AP$2,L65,0)),"",OFFSET($AR$2,L65,0))</f>
        <v/>
      </c>
      <c r="M69" s="2537"/>
      <c r="N69" s="2538" t="str">
        <f ca="1">IF(ISBLANK(OFFSET($AP$2,L65,0)),"",OFFSET($AR$2,L65,0)-OFFSET($AX$2,L65,0))</f>
        <v/>
      </c>
      <c r="O69" s="2539"/>
      <c r="P69" s="2536" t="str">
        <f ca="1">IF(ISBLANK(OFFSET($AP$2,P65,0)),"",OFFSET($AR$2,P65,0))</f>
        <v/>
      </c>
      <c r="Q69" s="2537"/>
      <c r="R69" s="2538" t="str">
        <f ca="1">IF(ISBLANK(OFFSET($AP$2,P65,0)),"",OFFSET($AR$2,P65,0)-OFFSET($AX$2,P65,0))</f>
        <v/>
      </c>
      <c r="S69" s="2539"/>
      <c r="T69" s="2536" t="str">
        <f ca="1">IF(ISBLANK(OFFSET($AP$2,T65,0)),"",OFFSET($AR$2,T65,0))</f>
        <v/>
      </c>
      <c r="U69" s="2537"/>
      <c r="V69" s="2538" t="str">
        <f ca="1">IF(ISBLANK(OFFSET($AP$2,T65,0)),"",OFFSET($AR$2,T65,0)-OFFSET($AX$2,T65,0))</f>
        <v/>
      </c>
      <c r="W69" s="2539"/>
      <c r="X69" s="2536" t="str">
        <f ca="1">IF(ISBLANK(OFFSET($AP$2,X65,0)),"",OFFSET($AR$2,X65,0))</f>
        <v/>
      </c>
      <c r="Y69" s="2537"/>
      <c r="Z69" s="2538" t="str">
        <f ca="1">IF(ISBLANK(OFFSET($AP$2,X65,0)),"",OFFSET($AR$2,X65,0)-OFFSET($AX$2,X65,0))</f>
        <v/>
      </c>
      <c r="AA69" s="2539"/>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6" t="str">
        <f ca="1">IF(ISBLANK(OFFSET($AP$2,D65,0)),"",OFFSET($AS$2,D65,0))</f>
        <v/>
      </c>
      <c r="E70" s="2537"/>
      <c r="F70" s="2538" t="str">
        <f ca="1">IF(ISBLANK(OFFSET($AP$2,D65,0)),"",OFFSET($AS$2,D65,0)-OFFSET($AY$2,D65,0))</f>
        <v/>
      </c>
      <c r="G70" s="2539"/>
      <c r="H70" s="2536" t="str">
        <f ca="1">IF(ISBLANK(OFFSET($AP$2,H65,0)),"",OFFSET($AS$2,H65,0))</f>
        <v/>
      </c>
      <c r="I70" s="2537"/>
      <c r="J70" s="2538" t="str">
        <f ca="1">IF(ISBLANK(OFFSET($AP$2,H65,0)),"",OFFSET($AS$2,H65,0)-OFFSET($AY$2,H65,0))</f>
        <v/>
      </c>
      <c r="K70" s="2539"/>
      <c r="L70" s="2536" t="str">
        <f ca="1">IF(ISBLANK(OFFSET($AP$2,L65,0)),"",OFFSET($AS$2,L65,0))</f>
        <v/>
      </c>
      <c r="M70" s="2537"/>
      <c r="N70" s="2538" t="str">
        <f ca="1">IF(ISBLANK(OFFSET($AP$2,L65,0)),"",OFFSET($AS$2,L65,0)-OFFSET($AY$2,L65,0))</f>
        <v/>
      </c>
      <c r="O70" s="2539"/>
      <c r="P70" s="2536" t="str">
        <f ca="1">IF(ISBLANK(OFFSET($AP$2,P65,0)),"",OFFSET($AS$2,P65,0))</f>
        <v/>
      </c>
      <c r="Q70" s="2537"/>
      <c r="R70" s="2538" t="str">
        <f ca="1">IF(ISBLANK(OFFSET($AP$2,P65,0)),"",OFFSET($AS$2,P65,0)-OFFSET($AY$2,P65,0))</f>
        <v/>
      </c>
      <c r="S70" s="2539"/>
      <c r="T70" s="2536" t="str">
        <f ca="1">IF(ISBLANK(OFFSET($AP$2,T65,0)),"",OFFSET($AS$2,T65,0))</f>
        <v/>
      </c>
      <c r="U70" s="2537"/>
      <c r="V70" s="2538" t="str">
        <f ca="1">IF(ISBLANK(OFFSET($AP$2,T65,0)),"",OFFSET($AS$2,T65,0)-OFFSET($AY$2,T65,0))</f>
        <v/>
      </c>
      <c r="W70" s="2539"/>
      <c r="X70" s="2536" t="str">
        <f ca="1">IF(ISBLANK(OFFSET($AP$2,X65,0)),"",OFFSET($AS$2,X65,0))</f>
        <v/>
      </c>
      <c r="Y70" s="2537"/>
      <c r="Z70" s="2538" t="str">
        <f ca="1">IF(ISBLANK(OFFSET($AP$2,X65,0)),"",OFFSET($AS$2,X65,0)-OFFSET($AY$2,X65,0))</f>
        <v/>
      </c>
      <c r="AA70" s="2539"/>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6" t="str">
        <f ca="1">IF(ISBLANK(OFFSET($AP$2,D65,0)),"",OFFSET($AT$2,D65,0))</f>
        <v/>
      </c>
      <c r="E71" s="2537"/>
      <c r="F71" s="2538" t="str">
        <f ca="1">IF(ISBLANK(OFFSET($AP$2,D65,0)),"",OFFSET($AT$2,D65,0)-OFFSET($AZ$2,D65,0))</f>
        <v/>
      </c>
      <c r="G71" s="2539"/>
      <c r="H71" s="2536" t="str">
        <f ca="1">IF(ISBLANK(OFFSET($AP$2,H65,0)),"",OFFSET($AT$2,H65,0))</f>
        <v/>
      </c>
      <c r="I71" s="2537"/>
      <c r="J71" s="2538" t="str">
        <f ca="1">IF(ISBLANK(OFFSET($AP$2,H65,0)),"",OFFSET($AT$2,H65,0)-OFFSET($AZ$2,H65,0))</f>
        <v/>
      </c>
      <c r="K71" s="2539"/>
      <c r="L71" s="2536" t="str">
        <f ca="1">IF(ISBLANK(OFFSET($AP$2,L65,0)),"",OFFSET($AT$2,L65,0))</f>
        <v/>
      </c>
      <c r="M71" s="2537"/>
      <c r="N71" s="2538" t="str">
        <f ca="1">IF(ISBLANK(OFFSET($AP$2,L65,0)),"",OFFSET($AT$2,L65,0)-OFFSET($AZ$2,L65,0))</f>
        <v/>
      </c>
      <c r="O71" s="2539"/>
      <c r="P71" s="2536" t="str">
        <f ca="1">IF(ISBLANK(OFFSET($AP$2,P65,0)),"",OFFSET($AT$2,P65,0))</f>
        <v/>
      </c>
      <c r="Q71" s="2537"/>
      <c r="R71" s="2538" t="str">
        <f ca="1">IF(ISBLANK(OFFSET($AP$2,P65,0)),"",OFFSET($AT$2,P65,0)-OFFSET($AZ$2,P65,0))</f>
        <v/>
      </c>
      <c r="S71" s="2539"/>
      <c r="T71" s="2536" t="str">
        <f ca="1">IF(ISBLANK(OFFSET($AP$2,T65,0)),"",OFFSET($AT$2,T65,0))</f>
        <v/>
      </c>
      <c r="U71" s="2537"/>
      <c r="V71" s="2538" t="str">
        <f ca="1">IF(ISBLANK(OFFSET($AP$2,T65,0)),"",OFFSET($AT$2,T65,0)-OFFSET($AZ$2,T65,0))</f>
        <v/>
      </c>
      <c r="W71" s="2539"/>
      <c r="X71" s="2536" t="str">
        <f ca="1">IF(ISBLANK(OFFSET($AP$2,X65,0)),"",OFFSET($AT$2,X65,0))</f>
        <v/>
      </c>
      <c r="Y71" s="2537"/>
      <c r="Z71" s="2538" t="str">
        <f ca="1">IF(ISBLANK(OFFSET($AP$2,X65,0)),"",OFFSET($AT$2,X65,0)-OFFSET($AZ$2,X65,0))</f>
        <v/>
      </c>
      <c r="AA71" s="2539"/>
      <c r="AB71" s="57"/>
      <c r="AP71" s="54"/>
      <c r="AQ71" s="54"/>
      <c r="AR71" s="54"/>
      <c r="AS71" s="54"/>
      <c r="AT71" s="54"/>
      <c r="AU71" s="54"/>
      <c r="AV71" s="76"/>
      <c r="AW71" s="77"/>
      <c r="AX71" s="54"/>
      <c r="AY71" s="54"/>
      <c r="AZ71" s="54"/>
      <c r="BA71" s="54"/>
      <c r="BB71" s="54"/>
    </row>
    <row r="72" spans="1:54" ht="12.95" hidden="1" customHeight="1" thickBot="1" x14ac:dyDescent="0.25">
      <c r="A72" s="57"/>
      <c r="B72" s="2542" t="s">
        <v>439</v>
      </c>
      <c r="C72" s="2543"/>
      <c r="D72" s="2544" t="str">
        <f ca="1">IF(ISBLANK(OFFSET($AP$2,D65,0)),"",OFFSET($AV$2,D65,0))</f>
        <v/>
      </c>
      <c r="E72" s="2545"/>
      <c r="F72" s="2546" t="str">
        <f ca="1">IF(ISBLANK(OFFSET($AP$2,D65,0)),"",OFFSET($AV$2,D65,0)-OFFSET($BB$2,D65,0))</f>
        <v/>
      </c>
      <c r="G72" s="2547"/>
      <c r="H72" s="2544" t="str">
        <f ca="1">IF(ISBLANK(OFFSET($AP$2,H65,0)),"",OFFSET($AV$2,H65,0))</f>
        <v/>
      </c>
      <c r="I72" s="2545"/>
      <c r="J72" s="2546" t="str">
        <f ca="1">IF(ISBLANK(OFFSET($AP$2,H65,0)),"",OFFSET($AV$2,H65,0)-OFFSET($BB$2,H65,0))</f>
        <v/>
      </c>
      <c r="K72" s="2547"/>
      <c r="L72" s="2544" t="str">
        <f ca="1">IF(ISBLANK(OFFSET($AP$2,L65,0)),"",OFFSET($AV$2,L65,0))</f>
        <v/>
      </c>
      <c r="M72" s="2545"/>
      <c r="N72" s="2546" t="str">
        <f ca="1">IF(ISBLANK(OFFSET($AP$2,L65,0)),"",OFFSET($AV$2,L65,0)-OFFSET($BB$2,L65,0))</f>
        <v/>
      </c>
      <c r="O72" s="2547"/>
      <c r="P72" s="2544" t="str">
        <f ca="1">IF(ISBLANK(OFFSET($AP$2,P65,0)),"",OFFSET($AV$2,P65,0))</f>
        <v/>
      </c>
      <c r="Q72" s="2545"/>
      <c r="R72" s="2546" t="str">
        <f ca="1">IF(ISBLANK(OFFSET($AP$2,P65,0)),"",OFFSET($AV$2,P65,0)-OFFSET($BB$2,P65,0))</f>
        <v/>
      </c>
      <c r="S72" s="2547"/>
      <c r="T72" s="2544" t="str">
        <f ca="1">IF(ISBLANK(OFFSET($AP$2,T65,0)),"",OFFSET($AV$2,T65,0))</f>
        <v/>
      </c>
      <c r="U72" s="2545"/>
      <c r="V72" s="2546" t="str">
        <f ca="1">IF(ISBLANK(OFFSET($AP$2,T65,0)),"",OFFSET($AV$2,T65,0)-OFFSET($BB$2,T65,0))</f>
        <v/>
      </c>
      <c r="W72" s="2547"/>
      <c r="X72" s="2544" t="str">
        <f ca="1">IF(ISBLANK(OFFSET($AP$2,X65,0)),"",OFFSET($AV$2,X65,0))</f>
        <v/>
      </c>
      <c r="Y72" s="2545"/>
      <c r="Z72" s="2546" t="str">
        <f ca="1">IF(ISBLANK(OFFSET($AP$2,X65,0)),"",OFFSET($AV$2,X65,0)-OFFSET($BB$2,X65,0))</f>
        <v/>
      </c>
      <c r="AA72" s="2547"/>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48" t="str">
        <f ca="1">IF(ISBLANK(OFFSET($AP$2,D73,0)),"",CONCATENATE("Seq. ",OFFSET($AP$2,D73,0)))</f>
        <v/>
      </c>
      <c r="E74" s="2549"/>
      <c r="F74" s="2549"/>
      <c r="G74" s="2550"/>
      <c r="H74" s="2548" t="str">
        <f ca="1">IF(ISBLANK(OFFSET($AP$2,H73,0)),"",CONCATENATE("Seq. ",OFFSET($AP$2,H73,0)))</f>
        <v/>
      </c>
      <c r="I74" s="2549"/>
      <c r="J74" s="2549"/>
      <c r="K74" s="2550"/>
      <c r="L74" s="2548" t="str">
        <f ca="1">IF(ISBLANK(OFFSET($AP$2,L73,0)),"",CONCATENATE("Seq. ",OFFSET($AP$2,L73,0)))</f>
        <v/>
      </c>
      <c r="M74" s="2549"/>
      <c r="N74" s="2549"/>
      <c r="O74" s="2550"/>
      <c r="P74" s="2548" t="str">
        <f ca="1">IF(ISBLANK(OFFSET($AP$2,P73,0)),"",CONCATENATE("Seq. ",OFFSET($AP$2,P73,0)))</f>
        <v/>
      </c>
      <c r="Q74" s="2549"/>
      <c r="R74" s="2549"/>
      <c r="S74" s="2550"/>
      <c r="T74" s="2548" t="str">
        <f ca="1">IF(ISBLANK(OFFSET($AP$2,T73,0)),"",CONCATENATE("Seq. ",OFFSET($AP$2,T73,0)))</f>
        <v/>
      </c>
      <c r="U74" s="2549"/>
      <c r="V74" s="2549"/>
      <c r="W74" s="2550"/>
      <c r="X74" s="2548" t="str">
        <f ca="1">IF(ISBLANK(OFFSET($AP$2,X73,0)),"",CONCATENATE("Seq. ",OFFSET($AP$2,X73,0)))</f>
        <v/>
      </c>
      <c r="Y74" s="2549"/>
      <c r="Z74" s="2549"/>
      <c r="AA74" s="2550"/>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51" t="s">
        <v>440</v>
      </c>
      <c r="E75" s="2552"/>
      <c r="F75" s="2552" t="s">
        <v>441</v>
      </c>
      <c r="G75" s="2553"/>
      <c r="H75" s="2551" t="s">
        <v>440</v>
      </c>
      <c r="I75" s="2552"/>
      <c r="J75" s="2552" t="s">
        <v>441</v>
      </c>
      <c r="K75" s="2553"/>
      <c r="L75" s="2551" t="s">
        <v>440</v>
      </c>
      <c r="M75" s="2552"/>
      <c r="N75" s="2552" t="s">
        <v>441</v>
      </c>
      <c r="O75" s="2553"/>
      <c r="P75" s="2551" t="s">
        <v>440</v>
      </c>
      <c r="Q75" s="2552"/>
      <c r="R75" s="2552" t="s">
        <v>441</v>
      </c>
      <c r="S75" s="2553"/>
      <c r="T75" s="2551" t="s">
        <v>440</v>
      </c>
      <c r="U75" s="2552"/>
      <c r="V75" s="2552" t="s">
        <v>441</v>
      </c>
      <c r="W75" s="2553"/>
      <c r="X75" s="2551" t="s">
        <v>440</v>
      </c>
      <c r="Y75" s="2552"/>
      <c r="Z75" s="2552" t="s">
        <v>441</v>
      </c>
      <c r="AA75" s="2553"/>
      <c r="AB75" s="57"/>
      <c r="AP75" s="54"/>
      <c r="AQ75" s="54"/>
      <c r="AR75" s="54"/>
      <c r="AS75" s="54"/>
      <c r="AT75" s="54"/>
      <c r="AU75" s="54"/>
      <c r="AV75" s="76"/>
      <c r="AW75" s="77"/>
      <c r="AX75" s="54"/>
      <c r="AY75" s="54"/>
      <c r="AZ75" s="54"/>
      <c r="BA75" s="54"/>
      <c r="BB75" s="54"/>
    </row>
    <row r="76" spans="1:54" ht="12.95" hidden="1" customHeight="1" x14ac:dyDescent="0.2">
      <c r="A76" s="57"/>
      <c r="B76" s="2554" t="s">
        <v>73</v>
      </c>
      <c r="C76" s="2555"/>
      <c r="D76" s="2536" t="str">
        <f ca="1">IF(ISBLANK(OFFSET($AP$2,D73,0)),"",OFFSET($AQ$2,D73,0)+OFFSET($AU$2,D73,0))</f>
        <v/>
      </c>
      <c r="E76" s="2537"/>
      <c r="F76" s="2538" t="str">
        <f ca="1">IF(ISBLANK(OFFSET($AP$2,D73,0)),"",(OFFSET($AQ$2,D73,0)+OFFSET($AU$2,D73,0))-(OFFSET($AW$2,D73,0)+OFFSET($BA$2,D73,0)))</f>
        <v/>
      </c>
      <c r="G76" s="2539"/>
      <c r="H76" s="2536" t="str">
        <f ca="1">IF(ISBLANK(OFFSET($AP$2,H73,0)),"",OFFSET($AQ$2,H73,0)+OFFSET($AU$2,H73,0))</f>
        <v/>
      </c>
      <c r="I76" s="2537"/>
      <c r="J76" s="2538" t="str">
        <f ca="1">IF(ISBLANK(OFFSET($AP$2,H73,0)),"",(OFFSET($AQ$2,H73,0)+OFFSET($AU$2,H73,0))-(OFFSET($AW$2,H73,0)+OFFSET($BA$2,H73,0)))</f>
        <v/>
      </c>
      <c r="K76" s="2539"/>
      <c r="L76" s="2536" t="str">
        <f ca="1">IF(ISBLANK(OFFSET($AP$2,L73,0)),"",OFFSET($AQ$2,L73,0)+OFFSET($AU$2,L73,0))</f>
        <v/>
      </c>
      <c r="M76" s="2537"/>
      <c r="N76" s="2538" t="str">
        <f ca="1">IF(ISBLANK(OFFSET($AP$2,L73,0)),"",(OFFSET($AQ$2,L73,0)+OFFSET($AU$2,L73,0))-(OFFSET($AW$2,L73,0)+OFFSET($BA$2,L73,0)))</f>
        <v/>
      </c>
      <c r="O76" s="2539"/>
      <c r="P76" s="2536" t="str">
        <f ca="1">IF(ISBLANK(OFFSET($AP$2,P73,0)),"",OFFSET($AQ$2,P73,0)+OFFSET($AU$2,P73,0))</f>
        <v/>
      </c>
      <c r="Q76" s="2537"/>
      <c r="R76" s="2538" t="str">
        <f ca="1">IF(ISBLANK(OFFSET($AP$2,P73,0)),"",(OFFSET($AQ$2,P73,0)+OFFSET($AU$2,P73,0))-(OFFSET($AW$2,P73,0)+OFFSET($BA$2,P73,0)))</f>
        <v/>
      </c>
      <c r="S76" s="2539"/>
      <c r="T76" s="2536" t="str">
        <f ca="1">IF(ISBLANK(OFFSET($AP$2,T73,0)),"",OFFSET($AQ$2,T73,0)+OFFSET($AU$2,T73,0))</f>
        <v/>
      </c>
      <c r="U76" s="2537"/>
      <c r="V76" s="2538" t="str">
        <f ca="1">IF(ISBLANK(OFFSET($AP$2,T73,0)),"",(OFFSET($AQ$2,T73,0)+OFFSET($AU$2,T73,0))-(OFFSET($AW$2,T73,0)+OFFSET($BA$2,T73,0)))</f>
        <v/>
      </c>
      <c r="W76" s="2539"/>
      <c r="X76" s="2536" t="str">
        <f ca="1">IF(ISBLANK(OFFSET($AP$2,X73,0)),"",OFFSET($AQ$2,X73,0)+OFFSET($AU$2,X73,0))</f>
        <v/>
      </c>
      <c r="Y76" s="2537"/>
      <c r="Z76" s="2538" t="str">
        <f ca="1">IF(ISBLANK(OFFSET($AP$2,X73,0)),"",(OFFSET($AQ$2,X73,0)+OFFSET($AU$2,X73,0))-(OFFSET($AW$2,X73,0)+OFFSET($BA$2,X73,0)))</f>
        <v/>
      </c>
      <c r="AA76" s="2539"/>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6" t="str">
        <f ca="1">IF(ISBLANK(OFFSET($AP$2,D73,0)),"",OFFSET($AR$2,D73,0))</f>
        <v/>
      </c>
      <c r="E77" s="2537"/>
      <c r="F77" s="2538" t="str">
        <f ca="1">IF(ISBLANK(OFFSET($AP$2,D73,0)),"",OFFSET($AR$2,D73,0)-OFFSET($AX$2,D73,0))</f>
        <v/>
      </c>
      <c r="G77" s="2539"/>
      <c r="H77" s="2536" t="str">
        <f ca="1">IF(ISBLANK(OFFSET($AP$2,H73,0)),"",OFFSET($AR$2,H73,0))</f>
        <v/>
      </c>
      <c r="I77" s="2537"/>
      <c r="J77" s="2538" t="str">
        <f ca="1">IF(ISBLANK(OFFSET($AP$2,H73,0)),"",OFFSET($AR$2,H73,0)-OFFSET($AX$2,H73,0))</f>
        <v/>
      </c>
      <c r="K77" s="2539"/>
      <c r="L77" s="2536" t="str">
        <f ca="1">IF(ISBLANK(OFFSET($AP$2,L73,0)),"",OFFSET($AR$2,L73,0))</f>
        <v/>
      </c>
      <c r="M77" s="2537"/>
      <c r="N77" s="2538" t="str">
        <f ca="1">IF(ISBLANK(OFFSET($AP$2,L73,0)),"",OFFSET($AR$2,L73,0)-OFFSET($AX$2,L73,0))</f>
        <v/>
      </c>
      <c r="O77" s="2539"/>
      <c r="P77" s="2536" t="str">
        <f ca="1">IF(ISBLANK(OFFSET($AP$2,P73,0)),"",OFFSET($AR$2,P73,0))</f>
        <v/>
      </c>
      <c r="Q77" s="2537"/>
      <c r="R77" s="2538" t="str">
        <f ca="1">IF(ISBLANK(OFFSET($AP$2,P73,0)),"",OFFSET($AR$2,P73,0)-OFFSET($AX$2,P73,0))</f>
        <v/>
      </c>
      <c r="S77" s="2539"/>
      <c r="T77" s="2536" t="str">
        <f ca="1">IF(ISBLANK(OFFSET($AP$2,T73,0)),"",OFFSET($AR$2,T73,0))</f>
        <v/>
      </c>
      <c r="U77" s="2537"/>
      <c r="V77" s="2538" t="str">
        <f ca="1">IF(ISBLANK(OFFSET($AP$2,T73,0)),"",OFFSET($AR$2,T73,0)-OFFSET($AX$2,T73,0))</f>
        <v/>
      </c>
      <c r="W77" s="2539"/>
      <c r="X77" s="2536" t="str">
        <f ca="1">IF(ISBLANK(OFFSET($AP$2,X73,0)),"",OFFSET($AR$2,X73,0))</f>
        <v/>
      </c>
      <c r="Y77" s="2537"/>
      <c r="Z77" s="2538" t="str">
        <f ca="1">IF(ISBLANK(OFFSET($AP$2,X73,0)),"",OFFSET($AR$2,X73,0)-OFFSET($AX$2,X73,0))</f>
        <v/>
      </c>
      <c r="AA77" s="2539"/>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6" t="str">
        <f ca="1">IF(ISBLANK(OFFSET($AP$2,D73,0)),"",OFFSET($AS$2,D73,0))</f>
        <v/>
      </c>
      <c r="E78" s="2537"/>
      <c r="F78" s="2538" t="str">
        <f ca="1">IF(ISBLANK(OFFSET($AP$2,D73,0)),"",OFFSET($AS$2,D73,0)-OFFSET($AY$2,D73,0))</f>
        <v/>
      </c>
      <c r="G78" s="2539"/>
      <c r="H78" s="2536" t="str">
        <f ca="1">IF(ISBLANK(OFFSET($AP$2,H73,0)),"",OFFSET($AS$2,H73,0))</f>
        <v/>
      </c>
      <c r="I78" s="2537"/>
      <c r="J78" s="2538" t="str">
        <f ca="1">IF(ISBLANK(OFFSET($AP$2,H73,0)),"",OFFSET($AS$2,H73,0)-OFFSET($AY$2,H73,0))</f>
        <v/>
      </c>
      <c r="K78" s="2539"/>
      <c r="L78" s="2536" t="str">
        <f ca="1">IF(ISBLANK(OFFSET($AP$2,L73,0)),"",OFFSET($AS$2,L73,0))</f>
        <v/>
      </c>
      <c r="M78" s="2537"/>
      <c r="N78" s="2538" t="str">
        <f ca="1">IF(ISBLANK(OFFSET($AP$2,L73,0)),"",OFFSET($AS$2,L73,0)-OFFSET($AY$2,L73,0))</f>
        <v/>
      </c>
      <c r="O78" s="2539"/>
      <c r="P78" s="2536" t="str">
        <f ca="1">IF(ISBLANK(OFFSET($AP$2,P73,0)),"",OFFSET($AS$2,P73,0))</f>
        <v/>
      </c>
      <c r="Q78" s="2537"/>
      <c r="R78" s="2538" t="str">
        <f ca="1">IF(ISBLANK(OFFSET($AP$2,P73,0)),"",OFFSET($AS$2,P73,0)-OFFSET($AY$2,P73,0))</f>
        <v/>
      </c>
      <c r="S78" s="2539"/>
      <c r="T78" s="2536" t="str">
        <f ca="1">IF(ISBLANK(OFFSET($AP$2,T73,0)),"",OFFSET($AS$2,T73,0))</f>
        <v/>
      </c>
      <c r="U78" s="2537"/>
      <c r="V78" s="2538" t="str">
        <f ca="1">IF(ISBLANK(OFFSET($AP$2,T73,0)),"",OFFSET($AS$2,T73,0)-OFFSET($AY$2,T73,0))</f>
        <v/>
      </c>
      <c r="W78" s="2539"/>
      <c r="X78" s="2536" t="str">
        <f ca="1">IF(ISBLANK(OFFSET($AP$2,X73,0)),"",OFFSET($AS$2,X73,0))</f>
        <v/>
      </c>
      <c r="Y78" s="2537"/>
      <c r="Z78" s="2538" t="str">
        <f ca="1">IF(ISBLANK(OFFSET($AP$2,X73,0)),"",OFFSET($AS$2,X73,0)-OFFSET($AY$2,X73,0))</f>
        <v/>
      </c>
      <c r="AA78" s="2539"/>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6" t="str">
        <f ca="1">IF(ISBLANK(OFFSET($AP$2,D73,0)),"",OFFSET($AT$2,D73,0))</f>
        <v/>
      </c>
      <c r="E79" s="2537"/>
      <c r="F79" s="2538" t="str">
        <f ca="1">IF(ISBLANK(OFFSET($AP$2,D73,0)),"",OFFSET($AT$2,D73,0)-OFFSET($AZ$2,D73,0))</f>
        <v/>
      </c>
      <c r="G79" s="2539"/>
      <c r="H79" s="2536" t="str">
        <f ca="1">IF(ISBLANK(OFFSET($AP$2,H73,0)),"",OFFSET($AT$2,H73,0))</f>
        <v/>
      </c>
      <c r="I79" s="2537"/>
      <c r="J79" s="2538" t="str">
        <f ca="1">IF(ISBLANK(OFFSET($AP$2,H73,0)),"",OFFSET($AT$2,H73,0)-OFFSET($AZ$2,H73,0))</f>
        <v/>
      </c>
      <c r="K79" s="2539"/>
      <c r="L79" s="2536" t="str">
        <f ca="1">IF(ISBLANK(OFFSET($AP$2,L73,0)),"",OFFSET($AT$2,L73,0))</f>
        <v/>
      </c>
      <c r="M79" s="2537"/>
      <c r="N79" s="2538" t="str">
        <f ca="1">IF(ISBLANK(OFFSET($AP$2,L73,0)),"",OFFSET($AT$2,L73,0)-OFFSET($AZ$2,L73,0))</f>
        <v/>
      </c>
      <c r="O79" s="2539"/>
      <c r="P79" s="2536" t="str">
        <f ca="1">IF(ISBLANK(OFFSET($AP$2,P73,0)),"",OFFSET($AT$2,P73,0))</f>
        <v/>
      </c>
      <c r="Q79" s="2537"/>
      <c r="R79" s="2538" t="str">
        <f ca="1">IF(ISBLANK(OFFSET($AP$2,P73,0)),"",OFFSET($AT$2,P73,0)-OFFSET($AZ$2,P73,0))</f>
        <v/>
      </c>
      <c r="S79" s="2539"/>
      <c r="T79" s="2536" t="str">
        <f ca="1">IF(ISBLANK(OFFSET($AP$2,T73,0)),"",OFFSET($AT$2,T73,0))</f>
        <v/>
      </c>
      <c r="U79" s="2537"/>
      <c r="V79" s="2538" t="str">
        <f ca="1">IF(ISBLANK(OFFSET($AP$2,T73,0)),"",OFFSET($AT$2,T73,0)-OFFSET($AZ$2,T73,0))</f>
        <v/>
      </c>
      <c r="W79" s="2539"/>
      <c r="X79" s="2536" t="str">
        <f ca="1">IF(ISBLANK(OFFSET($AP$2,X73,0)),"",OFFSET($AT$2,X73,0))</f>
        <v/>
      </c>
      <c r="Y79" s="2537"/>
      <c r="Z79" s="2538" t="str">
        <f ca="1">IF(ISBLANK(OFFSET($AP$2,X73,0)),"",OFFSET($AT$2,X73,0)-OFFSET($AZ$2,X73,0))</f>
        <v/>
      </c>
      <c r="AA79" s="2539"/>
      <c r="AB79" s="57"/>
      <c r="AP79" s="54"/>
      <c r="AQ79" s="54"/>
      <c r="AR79" s="54"/>
      <c r="AS79" s="54"/>
      <c r="AT79" s="54"/>
      <c r="AU79" s="54"/>
      <c r="AV79" s="76"/>
      <c r="AW79" s="77"/>
      <c r="AX79" s="54"/>
      <c r="AY79" s="54"/>
      <c r="AZ79" s="54"/>
      <c r="BA79" s="54"/>
      <c r="BB79" s="54"/>
    </row>
    <row r="80" spans="1:54" ht="12.95" hidden="1" customHeight="1" thickBot="1" x14ac:dyDescent="0.25">
      <c r="A80" s="57"/>
      <c r="B80" s="2542" t="s">
        <v>439</v>
      </c>
      <c r="C80" s="2543"/>
      <c r="D80" s="2544" t="str">
        <f ca="1">IF(ISBLANK(OFFSET($AP$2,D73,0)),"",OFFSET($AV$2,D73,0))</f>
        <v/>
      </c>
      <c r="E80" s="2545"/>
      <c r="F80" s="2546" t="str">
        <f ca="1">IF(ISBLANK(OFFSET($AP$2,D73,0)),"",OFFSET($AV$2,D73,0)-OFFSET($BB$2,D73,0))</f>
        <v/>
      </c>
      <c r="G80" s="2547"/>
      <c r="H80" s="2544" t="str">
        <f ca="1">IF(ISBLANK(OFFSET($AP$2,H73,0)),"",OFFSET($AV$2,H73,0))</f>
        <v/>
      </c>
      <c r="I80" s="2545"/>
      <c r="J80" s="2546" t="str">
        <f ca="1">IF(ISBLANK(OFFSET($AP$2,H73,0)),"",OFFSET($AV$2,H73,0)-OFFSET($BB$2,H73,0))</f>
        <v/>
      </c>
      <c r="K80" s="2547"/>
      <c r="L80" s="2544" t="str">
        <f ca="1">IF(ISBLANK(OFFSET($AP$2,L73,0)),"",OFFSET($AV$2,L73,0))</f>
        <v/>
      </c>
      <c r="M80" s="2545"/>
      <c r="N80" s="2546" t="str">
        <f ca="1">IF(ISBLANK(OFFSET($AP$2,L73,0)),"",OFFSET($AV$2,L73,0)-OFFSET($BB$2,L73,0))</f>
        <v/>
      </c>
      <c r="O80" s="2547"/>
      <c r="P80" s="2544" t="str">
        <f ca="1">IF(ISBLANK(OFFSET($AP$2,P73,0)),"",OFFSET($AV$2,P73,0))</f>
        <v/>
      </c>
      <c r="Q80" s="2545"/>
      <c r="R80" s="2546" t="str">
        <f ca="1">IF(ISBLANK(OFFSET($AP$2,P73,0)),"",OFFSET($AV$2,P73,0)-OFFSET($BB$2,P73,0))</f>
        <v/>
      </c>
      <c r="S80" s="2547"/>
      <c r="T80" s="2544" t="str">
        <f ca="1">IF(ISBLANK(OFFSET($AP$2,T73,0)),"",OFFSET($AV$2,T73,0))</f>
        <v/>
      </c>
      <c r="U80" s="2545"/>
      <c r="V80" s="2546" t="str">
        <f ca="1">IF(ISBLANK(OFFSET($AP$2,T73,0)),"",OFFSET($AV$2,T73,0)-OFFSET($BB$2,T73,0))</f>
        <v/>
      </c>
      <c r="W80" s="2547"/>
      <c r="X80" s="2544" t="str">
        <f ca="1">IF(ISBLANK(OFFSET($AP$2,X73,0)),"",OFFSET($AV$2,X73,0))</f>
        <v/>
      </c>
      <c r="Y80" s="2545"/>
      <c r="Z80" s="2546" t="str">
        <f ca="1">IF(ISBLANK(OFFSET($AP$2,X73,0)),"",OFFSET($AV$2,X73,0)-OFFSET($BB$2,X73,0))</f>
        <v/>
      </c>
      <c r="AA80" s="2547"/>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48" t="str">
        <f ca="1">IF(ISBLANK(OFFSET($AP$2,D81,0)),"",CONCATENATE("Seq. ",OFFSET($AP$2,D81,0)))</f>
        <v/>
      </c>
      <c r="E82" s="2549"/>
      <c r="F82" s="2549"/>
      <c r="G82" s="2550"/>
      <c r="H82" s="2548" t="str">
        <f ca="1">IF(ISBLANK(OFFSET($AP$2,H81,0)),"",CONCATENATE("Seq. ",OFFSET($AP$2,H81,0)))</f>
        <v/>
      </c>
      <c r="I82" s="2549"/>
      <c r="J82" s="2549"/>
      <c r="K82" s="2550"/>
      <c r="L82" s="2548" t="str">
        <f ca="1">IF(ISBLANK(OFFSET($AP$2,L81,0)),"",CONCATENATE("Seq. ",OFFSET($AP$2,L81,0)))</f>
        <v/>
      </c>
      <c r="M82" s="2549"/>
      <c r="N82" s="2549"/>
      <c r="O82" s="2550"/>
      <c r="P82" s="2548" t="str">
        <f ca="1">IF(ISBLANK(OFFSET($AP$2,P81,0)),"",CONCATENATE("Seq. ",OFFSET($AP$2,P81,0)))</f>
        <v/>
      </c>
      <c r="Q82" s="2549"/>
      <c r="R82" s="2549"/>
      <c r="S82" s="2550"/>
      <c r="T82" s="2548" t="str">
        <f ca="1">IF(ISBLANK(OFFSET($AP$2,T81,0)),"",CONCATENATE("Seq. ",OFFSET($AP$2,T81,0)))</f>
        <v/>
      </c>
      <c r="U82" s="2549"/>
      <c r="V82" s="2549"/>
      <c r="W82" s="2550"/>
      <c r="X82" s="2548" t="str">
        <f ca="1">IF(ISBLANK(OFFSET($AP$2,X81,0)),"",CONCATENATE("Seq. ",OFFSET($AP$2,X81,0)))</f>
        <v/>
      </c>
      <c r="Y82" s="2549"/>
      <c r="Z82" s="2549"/>
      <c r="AA82" s="2550"/>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51" t="s">
        <v>440</v>
      </c>
      <c r="E83" s="2552"/>
      <c r="F83" s="2552" t="s">
        <v>441</v>
      </c>
      <c r="G83" s="2553"/>
      <c r="H83" s="2551" t="s">
        <v>440</v>
      </c>
      <c r="I83" s="2552"/>
      <c r="J83" s="2552" t="s">
        <v>441</v>
      </c>
      <c r="K83" s="2553"/>
      <c r="L83" s="2551" t="s">
        <v>440</v>
      </c>
      <c r="M83" s="2552"/>
      <c r="N83" s="2552" t="s">
        <v>441</v>
      </c>
      <c r="O83" s="2553"/>
      <c r="P83" s="2551" t="s">
        <v>440</v>
      </c>
      <c r="Q83" s="2552"/>
      <c r="R83" s="2552" t="s">
        <v>441</v>
      </c>
      <c r="S83" s="2553"/>
      <c r="T83" s="2551" t="s">
        <v>440</v>
      </c>
      <c r="U83" s="2552"/>
      <c r="V83" s="2552" t="s">
        <v>441</v>
      </c>
      <c r="W83" s="2553"/>
      <c r="X83" s="2551" t="s">
        <v>440</v>
      </c>
      <c r="Y83" s="2552"/>
      <c r="Z83" s="2552" t="s">
        <v>441</v>
      </c>
      <c r="AA83" s="2553"/>
      <c r="AB83" s="57"/>
      <c r="AP83" s="54"/>
      <c r="AQ83" s="54"/>
      <c r="AR83" s="54"/>
      <c r="AS83" s="54"/>
      <c r="AT83" s="54"/>
      <c r="AU83" s="54"/>
      <c r="AV83" s="76"/>
      <c r="AW83" s="77"/>
      <c r="AX83" s="54"/>
      <c r="AY83" s="54"/>
      <c r="AZ83" s="54"/>
      <c r="BA83" s="54"/>
      <c r="BB83" s="54"/>
    </row>
    <row r="84" spans="1:54" ht="12.95" hidden="1" customHeight="1" x14ac:dyDescent="0.2">
      <c r="A84" s="57"/>
      <c r="B84" s="2554" t="s">
        <v>73</v>
      </c>
      <c r="C84" s="2555"/>
      <c r="D84" s="2536" t="str">
        <f ca="1">IF(ISBLANK(OFFSET($AP$2,D81,0)),"",OFFSET($AQ$2,D81,0)+OFFSET($AU$2,D81,0))</f>
        <v/>
      </c>
      <c r="E84" s="2537"/>
      <c r="F84" s="2538" t="str">
        <f ca="1">IF(ISBLANK(OFFSET($AP$2,D81,0)),"",(OFFSET($AQ$2,D81,0)+OFFSET($AU$2,D81,0))-(OFFSET($AW$2,D81,0)+OFFSET($BA$2,D81,0)))</f>
        <v/>
      </c>
      <c r="G84" s="2539"/>
      <c r="H84" s="2536" t="str">
        <f ca="1">IF(ISBLANK(OFFSET($AP$2,H81,0)),"",OFFSET($AQ$2,H81,0)+OFFSET($AU$2,H81,0))</f>
        <v/>
      </c>
      <c r="I84" s="2537"/>
      <c r="J84" s="2538" t="str">
        <f ca="1">IF(ISBLANK(OFFSET($AP$2,H81,0)),"",(OFFSET($AQ$2,H81,0)+OFFSET($AU$2,H81,0))-(OFFSET($AW$2,H81,0)+OFFSET($BA$2,H81,0)))</f>
        <v/>
      </c>
      <c r="K84" s="2539"/>
      <c r="L84" s="2536" t="str">
        <f ca="1">IF(ISBLANK(OFFSET($AP$2,L81,0)),"",OFFSET($AQ$2,L81,0)+OFFSET($AU$2,L81,0))</f>
        <v/>
      </c>
      <c r="M84" s="2537"/>
      <c r="N84" s="2538" t="str">
        <f ca="1">IF(ISBLANK(OFFSET($AP$2,L81,0)),"",(OFFSET($AQ$2,L81,0)+OFFSET($AU$2,L81,0))-(OFFSET($AW$2,L81,0)+OFFSET($BA$2,L81,0)))</f>
        <v/>
      </c>
      <c r="O84" s="2539"/>
      <c r="P84" s="2536" t="str">
        <f ca="1">IF(ISBLANK(OFFSET($AP$2,P81,0)),"",OFFSET($AQ$2,P81,0)+OFFSET($AU$2,P81,0))</f>
        <v/>
      </c>
      <c r="Q84" s="2537"/>
      <c r="R84" s="2538" t="str">
        <f ca="1">IF(ISBLANK(OFFSET($AP$2,P81,0)),"",(OFFSET($AQ$2,P81,0)+OFFSET($AU$2,P81,0))-(OFFSET($AW$2,P81,0)+OFFSET($BA$2,P81,0)))</f>
        <v/>
      </c>
      <c r="S84" s="2539"/>
      <c r="T84" s="2536" t="str">
        <f ca="1">IF(ISBLANK(OFFSET($AP$2,T81,0)),"",OFFSET($AQ$2,T81,0)+OFFSET($AU$2,T81,0))</f>
        <v/>
      </c>
      <c r="U84" s="2537"/>
      <c r="V84" s="2538" t="str">
        <f ca="1">IF(ISBLANK(OFFSET($AP$2,T81,0)),"",(OFFSET($AQ$2,T81,0)+OFFSET($AU$2,T81,0))-(OFFSET($AW$2,T81,0)+OFFSET($BA$2,T81,0)))</f>
        <v/>
      </c>
      <c r="W84" s="2539"/>
      <c r="X84" s="2536" t="str">
        <f ca="1">IF(ISBLANK(OFFSET($AP$2,X81,0)),"",OFFSET($AQ$2,X81,0)+OFFSET($AU$2,X81,0))</f>
        <v/>
      </c>
      <c r="Y84" s="2537"/>
      <c r="Z84" s="2538" t="str">
        <f ca="1">IF(ISBLANK(OFFSET($AP$2,X81,0)),"",(OFFSET($AQ$2,X81,0)+OFFSET($AU$2,X81,0))-(OFFSET($AW$2,X81,0)+OFFSET($BA$2,X81,0)))</f>
        <v/>
      </c>
      <c r="AA84" s="2539"/>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6" t="str">
        <f ca="1">IF(ISBLANK(OFFSET($AP$2,D81,0)),"",OFFSET($AR$2,D81,0))</f>
        <v/>
      </c>
      <c r="E85" s="2537"/>
      <c r="F85" s="2538" t="str">
        <f ca="1">IF(ISBLANK(OFFSET($AP$2,D81,0)),"",OFFSET($AR$2,D81,0)-OFFSET($AX$2,D81,0))</f>
        <v/>
      </c>
      <c r="G85" s="2539"/>
      <c r="H85" s="2536" t="str">
        <f ca="1">IF(ISBLANK(OFFSET($AP$2,H81,0)),"",OFFSET($AR$2,H81,0))</f>
        <v/>
      </c>
      <c r="I85" s="2537"/>
      <c r="J85" s="2538" t="str">
        <f ca="1">IF(ISBLANK(OFFSET($AP$2,H81,0)),"",OFFSET($AR$2,H81,0)-OFFSET($AX$2,H81,0))</f>
        <v/>
      </c>
      <c r="K85" s="2539"/>
      <c r="L85" s="2536" t="str">
        <f ca="1">IF(ISBLANK(OFFSET($AP$2,L81,0)),"",OFFSET($AR$2,L81,0))</f>
        <v/>
      </c>
      <c r="M85" s="2537"/>
      <c r="N85" s="2538" t="str">
        <f ca="1">IF(ISBLANK(OFFSET($AP$2,L81,0)),"",OFFSET($AR$2,L81,0)-OFFSET($AX$2,L81,0))</f>
        <v/>
      </c>
      <c r="O85" s="2539"/>
      <c r="P85" s="2536" t="str">
        <f ca="1">IF(ISBLANK(OFFSET($AP$2,P81,0)),"",OFFSET($AR$2,P81,0))</f>
        <v/>
      </c>
      <c r="Q85" s="2537"/>
      <c r="R85" s="2538" t="str">
        <f ca="1">IF(ISBLANK(OFFSET($AP$2,P81,0)),"",OFFSET($AR$2,P81,0)-OFFSET($AX$2,P81,0))</f>
        <v/>
      </c>
      <c r="S85" s="2539"/>
      <c r="T85" s="2536" t="str">
        <f ca="1">IF(ISBLANK(OFFSET($AP$2,T81,0)),"",OFFSET($AR$2,T81,0))</f>
        <v/>
      </c>
      <c r="U85" s="2537"/>
      <c r="V85" s="2538" t="str">
        <f ca="1">IF(ISBLANK(OFFSET($AP$2,T81,0)),"",OFFSET($AR$2,T81,0)-OFFSET($AX$2,T81,0))</f>
        <v/>
      </c>
      <c r="W85" s="2539"/>
      <c r="X85" s="2536" t="str">
        <f ca="1">IF(ISBLANK(OFFSET($AP$2,X81,0)),"",OFFSET($AR$2,X81,0))</f>
        <v/>
      </c>
      <c r="Y85" s="2537"/>
      <c r="Z85" s="2538" t="str">
        <f ca="1">IF(ISBLANK(OFFSET($AP$2,X81,0)),"",OFFSET($AR$2,X81,0)-OFFSET($AX$2,X81,0))</f>
        <v/>
      </c>
      <c r="AA85" s="2539"/>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6" t="str">
        <f ca="1">IF(ISBLANK(OFFSET($AP$2,D81,0)),"",OFFSET($AS$2,D81,0))</f>
        <v/>
      </c>
      <c r="E86" s="2537"/>
      <c r="F86" s="2538" t="str">
        <f ca="1">IF(ISBLANK(OFFSET($AP$2,D81,0)),"",OFFSET($AS$2,D81,0)-OFFSET($AY$2,D81,0))</f>
        <v/>
      </c>
      <c r="G86" s="2539"/>
      <c r="H86" s="2536" t="str">
        <f ca="1">IF(ISBLANK(OFFSET($AP$2,H81,0)),"",OFFSET($AS$2,H81,0))</f>
        <v/>
      </c>
      <c r="I86" s="2537"/>
      <c r="J86" s="2538" t="str">
        <f ca="1">IF(ISBLANK(OFFSET($AP$2,H81,0)),"",OFFSET($AS$2,H81,0)-OFFSET($AY$2,H81,0))</f>
        <v/>
      </c>
      <c r="K86" s="2539"/>
      <c r="L86" s="2536" t="str">
        <f ca="1">IF(ISBLANK(OFFSET($AP$2,L81,0)),"",OFFSET($AS$2,L81,0))</f>
        <v/>
      </c>
      <c r="M86" s="2537"/>
      <c r="N86" s="2538" t="str">
        <f ca="1">IF(ISBLANK(OFFSET($AP$2,L81,0)),"",OFFSET($AS$2,L81,0)-OFFSET($AY$2,L81,0))</f>
        <v/>
      </c>
      <c r="O86" s="2539"/>
      <c r="P86" s="2536" t="str">
        <f ca="1">IF(ISBLANK(OFFSET($AP$2,P81,0)),"",OFFSET($AS$2,P81,0))</f>
        <v/>
      </c>
      <c r="Q86" s="2537"/>
      <c r="R86" s="2538" t="str">
        <f ca="1">IF(ISBLANK(OFFSET($AP$2,P81,0)),"",OFFSET($AS$2,P81,0)-OFFSET($AY$2,P81,0))</f>
        <v/>
      </c>
      <c r="S86" s="2539"/>
      <c r="T86" s="2536" t="str">
        <f ca="1">IF(ISBLANK(OFFSET($AP$2,T81,0)),"",OFFSET($AS$2,T81,0))</f>
        <v/>
      </c>
      <c r="U86" s="2537"/>
      <c r="V86" s="2538" t="str">
        <f ca="1">IF(ISBLANK(OFFSET($AP$2,T81,0)),"",OFFSET($AS$2,T81,0)-OFFSET($AY$2,T81,0))</f>
        <v/>
      </c>
      <c r="W86" s="2539"/>
      <c r="X86" s="2536" t="str">
        <f ca="1">IF(ISBLANK(OFFSET($AP$2,X81,0)),"",OFFSET($AS$2,X81,0))</f>
        <v/>
      </c>
      <c r="Y86" s="2537"/>
      <c r="Z86" s="2538" t="str">
        <f ca="1">IF(ISBLANK(OFFSET($AP$2,X81,0)),"",OFFSET($AS$2,X81,0)-OFFSET($AY$2,X81,0))</f>
        <v/>
      </c>
      <c r="AA86" s="2539"/>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6" t="str">
        <f ca="1">IF(ISBLANK(OFFSET($AP$2,D81,0)),"",OFFSET($AT$2,D81,0))</f>
        <v/>
      </c>
      <c r="E87" s="2537"/>
      <c r="F87" s="2538" t="str">
        <f ca="1">IF(ISBLANK(OFFSET($AP$2,D81,0)),"",OFFSET($AT$2,D81,0)-OFFSET($AZ$2,D81,0))</f>
        <v/>
      </c>
      <c r="G87" s="2539"/>
      <c r="H87" s="2536" t="str">
        <f ca="1">IF(ISBLANK(OFFSET($AP$2,H81,0)),"",OFFSET($AT$2,H81,0))</f>
        <v/>
      </c>
      <c r="I87" s="2537"/>
      <c r="J87" s="2538" t="str">
        <f ca="1">IF(ISBLANK(OFFSET($AP$2,H81,0)),"",OFFSET($AT$2,H81,0)-OFFSET($AZ$2,H81,0))</f>
        <v/>
      </c>
      <c r="K87" s="2539"/>
      <c r="L87" s="2536" t="str">
        <f ca="1">IF(ISBLANK(OFFSET($AP$2,L81,0)),"",OFFSET($AT$2,L81,0))</f>
        <v/>
      </c>
      <c r="M87" s="2537"/>
      <c r="N87" s="2538" t="str">
        <f ca="1">IF(ISBLANK(OFFSET($AP$2,L81,0)),"",OFFSET($AT$2,L81,0)-OFFSET($AZ$2,L81,0))</f>
        <v/>
      </c>
      <c r="O87" s="2539"/>
      <c r="P87" s="2536" t="str">
        <f ca="1">IF(ISBLANK(OFFSET($AP$2,P81,0)),"",OFFSET($AT$2,P81,0))</f>
        <v/>
      </c>
      <c r="Q87" s="2537"/>
      <c r="R87" s="2538" t="str">
        <f ca="1">IF(ISBLANK(OFFSET($AP$2,P81,0)),"",OFFSET($AT$2,P81,0)-OFFSET($AZ$2,P81,0))</f>
        <v/>
      </c>
      <c r="S87" s="2539"/>
      <c r="T87" s="2536" t="str">
        <f ca="1">IF(ISBLANK(OFFSET($AP$2,T81,0)),"",OFFSET($AT$2,T81,0))</f>
        <v/>
      </c>
      <c r="U87" s="2537"/>
      <c r="V87" s="2538" t="str">
        <f ca="1">IF(ISBLANK(OFFSET($AP$2,T81,0)),"",OFFSET($AT$2,T81,0)-OFFSET($AZ$2,T81,0))</f>
        <v/>
      </c>
      <c r="W87" s="2539"/>
      <c r="X87" s="2536" t="str">
        <f ca="1">IF(ISBLANK(OFFSET($AP$2,X81,0)),"",OFFSET($AT$2,X81,0))</f>
        <v/>
      </c>
      <c r="Y87" s="2537"/>
      <c r="Z87" s="2538" t="str">
        <f ca="1">IF(ISBLANK(OFFSET($AP$2,X81,0)),"",OFFSET($AT$2,X81,0)-OFFSET($AZ$2,X81,0))</f>
        <v/>
      </c>
      <c r="AA87" s="2539"/>
      <c r="AB87" s="57"/>
      <c r="AP87" s="54"/>
      <c r="AQ87" s="54"/>
      <c r="AR87" s="54"/>
      <c r="AS87" s="54"/>
      <c r="AT87" s="54"/>
      <c r="AU87" s="54"/>
      <c r="AV87" s="76"/>
      <c r="AW87" s="77"/>
      <c r="AX87" s="54"/>
      <c r="AY87" s="54"/>
      <c r="AZ87" s="54"/>
      <c r="BA87" s="54"/>
      <c r="BB87" s="54"/>
    </row>
    <row r="88" spans="1:54" ht="12.95" hidden="1" customHeight="1" thickBot="1" x14ac:dyDescent="0.25">
      <c r="A88" s="57"/>
      <c r="B88" s="2542" t="s">
        <v>439</v>
      </c>
      <c r="C88" s="2543"/>
      <c r="D88" s="2544" t="str">
        <f ca="1">IF(ISBLANK(OFFSET($AP$2,D81,0)),"",OFFSET($AV$2,D81,0))</f>
        <v/>
      </c>
      <c r="E88" s="2545"/>
      <c r="F88" s="2546" t="str">
        <f ca="1">IF(ISBLANK(OFFSET($AP$2,D81,0)),"",OFFSET($AV$2,D81,0)-OFFSET($BB$2,D81,0))</f>
        <v/>
      </c>
      <c r="G88" s="2547"/>
      <c r="H88" s="2544" t="str">
        <f ca="1">IF(ISBLANK(OFFSET($AP$2,H81,0)),"",OFFSET($AV$2,H81,0))</f>
        <v/>
      </c>
      <c r="I88" s="2545"/>
      <c r="J88" s="2546" t="str">
        <f ca="1">IF(ISBLANK(OFFSET($AP$2,H81,0)),"",OFFSET($AV$2,H81,0)-OFFSET($BB$2,H81,0))</f>
        <v/>
      </c>
      <c r="K88" s="2547"/>
      <c r="L88" s="2544" t="str">
        <f ca="1">IF(ISBLANK(OFFSET($AP$2,L81,0)),"",OFFSET($AV$2,L81,0))</f>
        <v/>
      </c>
      <c r="M88" s="2545"/>
      <c r="N88" s="2546" t="str">
        <f ca="1">IF(ISBLANK(OFFSET($AP$2,L81,0)),"",OFFSET($AV$2,L81,0)-OFFSET($BB$2,L81,0))</f>
        <v/>
      </c>
      <c r="O88" s="2547"/>
      <c r="P88" s="2544" t="str">
        <f ca="1">IF(ISBLANK(OFFSET($AP$2,P81,0)),"",OFFSET($AV$2,P81,0))</f>
        <v/>
      </c>
      <c r="Q88" s="2545"/>
      <c r="R88" s="2546" t="str">
        <f ca="1">IF(ISBLANK(OFFSET($AP$2,P81,0)),"",OFFSET($AV$2,P81,0)-OFFSET($BB$2,P81,0))</f>
        <v/>
      </c>
      <c r="S88" s="2547"/>
      <c r="T88" s="2544" t="str">
        <f ca="1">IF(ISBLANK(OFFSET($AP$2,T81,0)),"",OFFSET($AV$2,T81,0))</f>
        <v/>
      </c>
      <c r="U88" s="2545"/>
      <c r="V88" s="2546" t="str">
        <f ca="1">IF(ISBLANK(OFFSET($AP$2,T81,0)),"",OFFSET($AV$2,T81,0)-OFFSET($BB$2,T81,0))</f>
        <v/>
      </c>
      <c r="W88" s="2547"/>
      <c r="X88" s="2544" t="str">
        <f ca="1">IF(ISBLANK(OFFSET($AP$2,X81,0)),"",OFFSET($AV$2,X81,0))</f>
        <v/>
      </c>
      <c r="Y88" s="2545"/>
      <c r="Z88" s="2546" t="str">
        <f ca="1">IF(ISBLANK(OFFSET($AP$2,X81,0)),"",OFFSET($AV$2,X81,0)-OFFSET($BB$2,X81,0))</f>
        <v/>
      </c>
      <c r="AA88" s="2547"/>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48" t="str">
        <f ca="1">IF(ISBLANK(OFFSET($AP$2,D89,0)),"",CONCATENATE("Seq. ",OFFSET($AP$2,D89,0)))</f>
        <v/>
      </c>
      <c r="E90" s="2549"/>
      <c r="F90" s="2549"/>
      <c r="G90" s="2550"/>
      <c r="H90" s="2548" t="str">
        <f ca="1">IF(ISBLANK(OFFSET($AP$2,H89,0)),"",CONCATENATE("Seq. ",OFFSET($AP$2,H89,0)))</f>
        <v/>
      </c>
      <c r="I90" s="2549"/>
      <c r="J90" s="2549"/>
      <c r="K90" s="2550"/>
      <c r="L90" s="2548" t="str">
        <f ca="1">IF(ISBLANK(OFFSET($AP$2,L89,0)),"",CONCATENATE("Seq. ",OFFSET($AP$2,L89,0)))</f>
        <v/>
      </c>
      <c r="M90" s="2549"/>
      <c r="N90" s="2549"/>
      <c r="O90" s="2550"/>
      <c r="P90" s="2548" t="str">
        <f ca="1">IF(ISBLANK(OFFSET($AP$2,P89,0)),"",CONCATENATE("Seq. ",OFFSET($AP$2,P89,0)))</f>
        <v/>
      </c>
      <c r="Q90" s="2549"/>
      <c r="R90" s="2549"/>
      <c r="S90" s="2550"/>
      <c r="T90" s="2548" t="str">
        <f ca="1">IF(ISBLANK(OFFSET($AP$2,T89,0)),"",CONCATENATE("Seq. ",OFFSET($AP$2,T89,0)))</f>
        <v/>
      </c>
      <c r="U90" s="2549"/>
      <c r="V90" s="2549"/>
      <c r="W90" s="2550"/>
      <c r="X90" s="2548" t="str">
        <f ca="1">IF(ISBLANK(OFFSET($AP$2,X89,0)),"",CONCATENATE("Seq. ",OFFSET($AP$2,X89,0)))</f>
        <v/>
      </c>
      <c r="Y90" s="2549"/>
      <c r="Z90" s="2549"/>
      <c r="AA90" s="2550"/>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51" t="s">
        <v>440</v>
      </c>
      <c r="E91" s="2552"/>
      <c r="F91" s="2552" t="s">
        <v>441</v>
      </c>
      <c r="G91" s="2553"/>
      <c r="H91" s="2551" t="s">
        <v>440</v>
      </c>
      <c r="I91" s="2552"/>
      <c r="J91" s="2552" t="s">
        <v>441</v>
      </c>
      <c r="K91" s="2553"/>
      <c r="L91" s="2551" t="s">
        <v>440</v>
      </c>
      <c r="M91" s="2552"/>
      <c r="N91" s="2552" t="s">
        <v>441</v>
      </c>
      <c r="O91" s="2553"/>
      <c r="P91" s="2551" t="s">
        <v>440</v>
      </c>
      <c r="Q91" s="2552"/>
      <c r="R91" s="2552" t="s">
        <v>441</v>
      </c>
      <c r="S91" s="2553"/>
      <c r="T91" s="2551" t="s">
        <v>440</v>
      </c>
      <c r="U91" s="2552"/>
      <c r="V91" s="2552" t="s">
        <v>441</v>
      </c>
      <c r="W91" s="2553"/>
      <c r="X91" s="2551" t="s">
        <v>440</v>
      </c>
      <c r="Y91" s="2552"/>
      <c r="Z91" s="2552" t="s">
        <v>441</v>
      </c>
      <c r="AA91" s="2553"/>
      <c r="AB91" s="57"/>
      <c r="AP91" s="54"/>
      <c r="AQ91" s="54"/>
      <c r="AR91" s="54"/>
      <c r="AS91" s="54"/>
      <c r="AT91" s="54"/>
      <c r="AU91" s="54"/>
      <c r="AV91" s="76"/>
      <c r="AW91" s="77"/>
      <c r="AX91" s="54"/>
      <c r="AY91" s="54"/>
      <c r="AZ91" s="54"/>
      <c r="BA91" s="54"/>
      <c r="BB91" s="54"/>
    </row>
    <row r="92" spans="1:54" ht="12.95" hidden="1" customHeight="1" x14ac:dyDescent="0.2">
      <c r="A92" s="57"/>
      <c r="B92" s="2554" t="s">
        <v>73</v>
      </c>
      <c r="C92" s="2555"/>
      <c r="D92" s="2536" t="str">
        <f ca="1">IF(ISBLANK(OFFSET($AP$2,D89,0)),"",OFFSET($AQ$2,D89,0)+OFFSET($AU$2,D89,0))</f>
        <v/>
      </c>
      <c r="E92" s="2537"/>
      <c r="F92" s="2538" t="str">
        <f ca="1">IF(ISBLANK(OFFSET($AP$2,D89,0)),"",(OFFSET($AQ$2,D89,0)+OFFSET($AU$2,D89,0))-(OFFSET($AW$2,D89,0)+OFFSET($BA$2,D89,0)))</f>
        <v/>
      </c>
      <c r="G92" s="2539"/>
      <c r="H92" s="2536" t="str">
        <f ca="1">IF(ISBLANK(OFFSET($AP$2,H89,0)),"",OFFSET($AQ$2,H89,0)+OFFSET($AU$2,H89,0))</f>
        <v/>
      </c>
      <c r="I92" s="2537"/>
      <c r="J92" s="2538" t="str">
        <f ca="1">IF(ISBLANK(OFFSET($AP$2,H89,0)),"",(OFFSET($AQ$2,H89,0)+OFFSET($AU$2,H89,0))-(OFFSET($AW$2,H89,0)+OFFSET($BA$2,H89,0)))</f>
        <v/>
      </c>
      <c r="K92" s="2539"/>
      <c r="L92" s="2536" t="str">
        <f ca="1">IF(ISBLANK(OFFSET($AP$2,L89,0)),"",OFFSET($AQ$2,L89,0)+OFFSET($AU$2,L89,0))</f>
        <v/>
      </c>
      <c r="M92" s="2537"/>
      <c r="N92" s="2538" t="str">
        <f ca="1">IF(ISBLANK(OFFSET($AP$2,L89,0)),"",(OFFSET($AQ$2,L89,0)+OFFSET($AU$2,L89,0))-(OFFSET($AW$2,L89,0)+OFFSET($BA$2,L89,0)))</f>
        <v/>
      </c>
      <c r="O92" s="2539"/>
      <c r="P92" s="2536" t="str">
        <f ca="1">IF(ISBLANK(OFFSET($AP$2,P89,0)),"",OFFSET($AQ$2,P89,0)+OFFSET($AU$2,P89,0))</f>
        <v/>
      </c>
      <c r="Q92" s="2537"/>
      <c r="R92" s="2538" t="str">
        <f ca="1">IF(ISBLANK(OFFSET($AP$2,P89,0)),"",(OFFSET($AQ$2,P89,0)+OFFSET($AU$2,P89,0))-(OFFSET($AW$2,P89,0)+OFFSET($BA$2,P89,0)))</f>
        <v/>
      </c>
      <c r="S92" s="2539"/>
      <c r="T92" s="2536" t="str">
        <f ca="1">IF(ISBLANK(OFFSET($AP$2,T89,0)),"",OFFSET($AQ$2,T89,0)+OFFSET($AU$2,T89,0))</f>
        <v/>
      </c>
      <c r="U92" s="2537"/>
      <c r="V92" s="2538" t="str">
        <f ca="1">IF(ISBLANK(OFFSET($AP$2,T89,0)),"",(OFFSET($AQ$2,T89,0)+OFFSET($AU$2,T89,0))-(OFFSET($AW$2,T89,0)+OFFSET($BA$2,T89,0)))</f>
        <v/>
      </c>
      <c r="W92" s="2539"/>
      <c r="X92" s="2536" t="str">
        <f ca="1">IF(ISBLANK(OFFSET($AP$2,X89,0)),"",OFFSET($AQ$2,X89,0)+OFFSET($AU$2,X89,0))</f>
        <v/>
      </c>
      <c r="Y92" s="2537"/>
      <c r="Z92" s="2538" t="str">
        <f ca="1">IF(ISBLANK(OFFSET($AP$2,X89,0)),"",(OFFSET($AQ$2,X89,0)+OFFSET($AU$2,X89,0))-(OFFSET($AW$2,X89,0)+OFFSET($BA$2,X89,0)))</f>
        <v/>
      </c>
      <c r="AA92" s="2539"/>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6" t="str">
        <f ca="1">IF(ISBLANK(OFFSET($AP$2,D89,0)),"",OFFSET($AR$2,D89,0))</f>
        <v/>
      </c>
      <c r="E93" s="2537"/>
      <c r="F93" s="2538" t="str">
        <f ca="1">IF(ISBLANK(OFFSET($AP$2,D89,0)),"",OFFSET($AR$2,D89,0)-OFFSET($AX$2,D89,0))</f>
        <v/>
      </c>
      <c r="G93" s="2539"/>
      <c r="H93" s="2536" t="str">
        <f ca="1">IF(ISBLANK(OFFSET($AP$2,H89,0)),"",OFFSET($AR$2,H89,0))</f>
        <v/>
      </c>
      <c r="I93" s="2537"/>
      <c r="J93" s="2538" t="str">
        <f ca="1">IF(ISBLANK(OFFSET($AP$2,H89,0)),"",OFFSET($AR$2,H89,0)-OFFSET($AX$2,H89,0))</f>
        <v/>
      </c>
      <c r="K93" s="2539"/>
      <c r="L93" s="2536" t="str">
        <f ca="1">IF(ISBLANK(OFFSET($AP$2,L89,0)),"",OFFSET($AR$2,L89,0))</f>
        <v/>
      </c>
      <c r="M93" s="2537"/>
      <c r="N93" s="2538" t="str">
        <f ca="1">IF(ISBLANK(OFFSET($AP$2,L89,0)),"",OFFSET($AR$2,L89,0)-OFFSET($AX$2,L89,0))</f>
        <v/>
      </c>
      <c r="O93" s="2539"/>
      <c r="P93" s="2536" t="str">
        <f ca="1">IF(ISBLANK(OFFSET($AP$2,P89,0)),"",OFFSET($AR$2,P89,0))</f>
        <v/>
      </c>
      <c r="Q93" s="2537"/>
      <c r="R93" s="2538" t="str">
        <f ca="1">IF(ISBLANK(OFFSET($AP$2,P89,0)),"",OFFSET($AR$2,P89,0)-OFFSET($AX$2,P89,0))</f>
        <v/>
      </c>
      <c r="S93" s="2539"/>
      <c r="T93" s="2536" t="str">
        <f ca="1">IF(ISBLANK(OFFSET($AP$2,T89,0)),"",OFFSET($AR$2,T89,0))</f>
        <v/>
      </c>
      <c r="U93" s="2537"/>
      <c r="V93" s="2538" t="str">
        <f ca="1">IF(ISBLANK(OFFSET($AP$2,T89,0)),"",OFFSET($AR$2,T89,0)-OFFSET($AX$2,T89,0))</f>
        <v/>
      </c>
      <c r="W93" s="2539"/>
      <c r="X93" s="2536" t="str">
        <f ca="1">IF(ISBLANK(OFFSET($AP$2,X89,0)),"",OFFSET($AR$2,X89,0))</f>
        <v/>
      </c>
      <c r="Y93" s="2537"/>
      <c r="Z93" s="2538" t="str">
        <f ca="1">IF(ISBLANK(OFFSET($AP$2,X89,0)),"",OFFSET($AR$2,X89,0)-OFFSET($AX$2,X89,0))</f>
        <v/>
      </c>
      <c r="AA93" s="2539"/>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6" t="str">
        <f ca="1">IF(ISBLANK(OFFSET($AP$2,D89,0)),"",OFFSET($AS$2,D89,0))</f>
        <v/>
      </c>
      <c r="E94" s="2537"/>
      <c r="F94" s="2538" t="str">
        <f ca="1">IF(ISBLANK(OFFSET($AP$2,D89,0)),"",OFFSET($AS$2,D89,0)-OFFSET($AY$2,D89,0))</f>
        <v/>
      </c>
      <c r="G94" s="2539"/>
      <c r="H94" s="2536" t="str">
        <f ca="1">IF(ISBLANK(OFFSET($AP$2,H89,0)),"",OFFSET($AS$2,H89,0))</f>
        <v/>
      </c>
      <c r="I94" s="2537"/>
      <c r="J94" s="2538" t="str">
        <f ca="1">IF(ISBLANK(OFFSET($AP$2,H89,0)),"",OFFSET($AS$2,H89,0)-OFFSET($AY$2,H89,0))</f>
        <v/>
      </c>
      <c r="K94" s="2539"/>
      <c r="L94" s="2536" t="str">
        <f ca="1">IF(ISBLANK(OFFSET($AP$2,L89,0)),"",OFFSET($AS$2,L89,0))</f>
        <v/>
      </c>
      <c r="M94" s="2537"/>
      <c r="N94" s="2538" t="str">
        <f ca="1">IF(ISBLANK(OFFSET($AP$2,L89,0)),"",OFFSET($AS$2,L89,0)-OFFSET($AY$2,L89,0))</f>
        <v/>
      </c>
      <c r="O94" s="2539"/>
      <c r="P94" s="2536" t="str">
        <f ca="1">IF(ISBLANK(OFFSET($AP$2,P89,0)),"",OFFSET($AS$2,P89,0))</f>
        <v/>
      </c>
      <c r="Q94" s="2537"/>
      <c r="R94" s="2538" t="str">
        <f ca="1">IF(ISBLANK(OFFSET($AP$2,P89,0)),"",OFFSET($AS$2,P89,0)-OFFSET($AY$2,P89,0))</f>
        <v/>
      </c>
      <c r="S94" s="2539"/>
      <c r="T94" s="2536" t="str">
        <f ca="1">IF(ISBLANK(OFFSET($AP$2,T89,0)),"",OFFSET($AS$2,T89,0))</f>
        <v/>
      </c>
      <c r="U94" s="2537"/>
      <c r="V94" s="2538" t="str">
        <f ca="1">IF(ISBLANK(OFFSET($AP$2,T89,0)),"",OFFSET($AS$2,T89,0)-OFFSET($AY$2,T89,0))</f>
        <v/>
      </c>
      <c r="W94" s="2539"/>
      <c r="X94" s="2536" t="str">
        <f ca="1">IF(ISBLANK(OFFSET($AP$2,X89,0)),"",OFFSET($AS$2,X89,0))</f>
        <v/>
      </c>
      <c r="Y94" s="2537"/>
      <c r="Z94" s="2538" t="str">
        <f ca="1">IF(ISBLANK(OFFSET($AP$2,X89,0)),"",OFFSET($AS$2,X89,0)-OFFSET($AY$2,X89,0))</f>
        <v/>
      </c>
      <c r="AA94" s="2539"/>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6" t="str">
        <f ca="1">IF(ISBLANK(OFFSET($AP$2,D89,0)),"",OFFSET($AT$2,D89,0))</f>
        <v/>
      </c>
      <c r="E95" s="2537"/>
      <c r="F95" s="2538" t="str">
        <f ca="1">IF(ISBLANK(OFFSET($AP$2,D89,0)),"",OFFSET($AT$2,D89,0)-OFFSET($AZ$2,D89,0))</f>
        <v/>
      </c>
      <c r="G95" s="2539"/>
      <c r="H95" s="2536" t="str">
        <f ca="1">IF(ISBLANK(OFFSET($AP$2,H89,0)),"",OFFSET($AT$2,H89,0))</f>
        <v/>
      </c>
      <c r="I95" s="2537"/>
      <c r="J95" s="2538" t="str">
        <f ca="1">IF(ISBLANK(OFFSET($AP$2,H89,0)),"",OFFSET($AT$2,H89,0)-OFFSET($AZ$2,H89,0))</f>
        <v/>
      </c>
      <c r="K95" s="2539"/>
      <c r="L95" s="2536" t="str">
        <f ca="1">IF(ISBLANK(OFFSET($AP$2,L89,0)),"",OFFSET($AT$2,L89,0))</f>
        <v/>
      </c>
      <c r="M95" s="2537"/>
      <c r="N95" s="2538" t="str">
        <f ca="1">IF(ISBLANK(OFFSET($AP$2,L89,0)),"",OFFSET($AT$2,L89,0)-OFFSET($AZ$2,L89,0))</f>
        <v/>
      </c>
      <c r="O95" s="2539"/>
      <c r="P95" s="2536" t="str">
        <f ca="1">IF(ISBLANK(OFFSET($AP$2,P89,0)),"",OFFSET($AT$2,P89,0))</f>
        <v/>
      </c>
      <c r="Q95" s="2537"/>
      <c r="R95" s="2538" t="str">
        <f ca="1">IF(ISBLANK(OFFSET($AP$2,P89,0)),"",OFFSET($AT$2,P89,0)-OFFSET($AZ$2,P89,0))</f>
        <v/>
      </c>
      <c r="S95" s="2539"/>
      <c r="T95" s="2536" t="str">
        <f ca="1">IF(ISBLANK(OFFSET($AP$2,T89,0)),"",OFFSET($AT$2,T89,0))</f>
        <v/>
      </c>
      <c r="U95" s="2537"/>
      <c r="V95" s="2538" t="str">
        <f ca="1">IF(ISBLANK(OFFSET($AP$2,T89,0)),"",OFFSET($AT$2,T89,0)-OFFSET($AZ$2,T89,0))</f>
        <v/>
      </c>
      <c r="W95" s="2539"/>
      <c r="X95" s="2536" t="str">
        <f ca="1">IF(ISBLANK(OFFSET($AP$2,X89,0)),"",OFFSET($AT$2,X89,0))</f>
        <v/>
      </c>
      <c r="Y95" s="2537"/>
      <c r="Z95" s="2538" t="str">
        <f ca="1">IF(ISBLANK(OFFSET($AP$2,X89,0)),"",OFFSET($AT$2,X89,0)-OFFSET($AZ$2,X89,0))</f>
        <v/>
      </c>
      <c r="AA95" s="2539"/>
      <c r="AB95" s="57"/>
      <c r="AP95" s="54"/>
      <c r="AQ95" s="54"/>
      <c r="AR95" s="54"/>
      <c r="AS95" s="54"/>
      <c r="AT95" s="54"/>
      <c r="AU95" s="54"/>
      <c r="AV95" s="76"/>
      <c r="AW95" s="77"/>
      <c r="AX95" s="54"/>
      <c r="AY95" s="54"/>
      <c r="AZ95" s="54"/>
      <c r="BA95" s="54"/>
      <c r="BB95" s="54"/>
    </row>
    <row r="96" spans="1:54" ht="12.95" hidden="1" customHeight="1" thickBot="1" x14ac:dyDescent="0.25">
      <c r="A96" s="57"/>
      <c r="B96" s="2542" t="s">
        <v>439</v>
      </c>
      <c r="C96" s="2543"/>
      <c r="D96" s="2544" t="str">
        <f ca="1">IF(ISBLANK(OFFSET($AP$2,D89,0)),"",OFFSET($AV$2,D89,0))</f>
        <v/>
      </c>
      <c r="E96" s="2545"/>
      <c r="F96" s="2546" t="str">
        <f ca="1">IF(ISBLANK(OFFSET($AP$2,D89,0)),"",OFFSET($AV$2,D89,0)-OFFSET($BB$2,D89,0))</f>
        <v/>
      </c>
      <c r="G96" s="2547"/>
      <c r="H96" s="2544" t="str">
        <f ca="1">IF(ISBLANK(OFFSET($AP$2,H89,0)),"",OFFSET($AV$2,H89,0))</f>
        <v/>
      </c>
      <c r="I96" s="2545"/>
      <c r="J96" s="2546" t="str">
        <f ca="1">IF(ISBLANK(OFFSET($AP$2,H89,0)),"",OFFSET($AV$2,H89,0)-OFFSET($BB$2,H89,0))</f>
        <v/>
      </c>
      <c r="K96" s="2547"/>
      <c r="L96" s="2544" t="str">
        <f ca="1">IF(ISBLANK(OFFSET($AP$2,L89,0)),"",OFFSET($AV$2,L89,0))</f>
        <v/>
      </c>
      <c r="M96" s="2545"/>
      <c r="N96" s="2546" t="str">
        <f ca="1">IF(ISBLANK(OFFSET($AP$2,L89,0)),"",OFFSET($AV$2,L89,0)-OFFSET($BB$2,L89,0))</f>
        <v/>
      </c>
      <c r="O96" s="2547"/>
      <c r="P96" s="2544" t="str">
        <f ca="1">IF(ISBLANK(OFFSET($AP$2,P89,0)),"",OFFSET($AV$2,P89,0))</f>
        <v/>
      </c>
      <c r="Q96" s="2545"/>
      <c r="R96" s="2546" t="str">
        <f ca="1">IF(ISBLANK(OFFSET($AP$2,P89,0)),"",OFFSET($AV$2,P89,0)-OFFSET($BB$2,P89,0))</f>
        <v/>
      </c>
      <c r="S96" s="2547"/>
      <c r="T96" s="2544" t="str">
        <f ca="1">IF(ISBLANK(OFFSET($AP$2,T89,0)),"",OFFSET($AV$2,T89,0))</f>
        <v/>
      </c>
      <c r="U96" s="2545"/>
      <c r="V96" s="2546" t="str">
        <f ca="1">IF(ISBLANK(OFFSET($AP$2,T89,0)),"",OFFSET($AV$2,T89,0)-OFFSET($BB$2,T89,0))</f>
        <v/>
      </c>
      <c r="W96" s="2547"/>
      <c r="X96" s="2544" t="str">
        <f ca="1">IF(ISBLANK(OFFSET($AP$2,X89,0)),"",OFFSET($AV$2,X89,0))</f>
        <v/>
      </c>
      <c r="Y96" s="2545"/>
      <c r="Z96" s="2546" t="str">
        <f ca="1">IF(ISBLANK(OFFSET($AP$2,X89,0)),"",OFFSET($AV$2,X89,0)-OFFSET($BB$2,X89,0))</f>
        <v/>
      </c>
      <c r="AA96" s="2547"/>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48" t="str">
        <f ca="1">IF(ISBLANK(OFFSET($AP$2,D97,0)),"",CONCATENATE("Seq. ",OFFSET($AP$2,D97,0)))</f>
        <v/>
      </c>
      <c r="E98" s="2549"/>
      <c r="F98" s="2549"/>
      <c r="G98" s="2550"/>
      <c r="H98" s="2548" t="str">
        <f ca="1">IF(ISBLANK(OFFSET($AP$2,H97,0)),"",CONCATENATE("Seq. ",OFFSET($AP$2,H97,0)))</f>
        <v/>
      </c>
      <c r="I98" s="2549"/>
      <c r="J98" s="2549"/>
      <c r="K98" s="2550"/>
      <c r="L98" s="2548" t="str">
        <f ca="1">IF(ISBLANK(OFFSET($AP$2,L97,0)),"",CONCATENATE("Seq. ",OFFSET($AP$2,L97,0)))</f>
        <v/>
      </c>
      <c r="M98" s="2549"/>
      <c r="N98" s="2549"/>
      <c r="O98" s="2550"/>
      <c r="P98" s="2548" t="str">
        <f ca="1">IF(ISBLANK(OFFSET($AP$2,P97,0)),"",CONCATENATE("Seq. ",OFFSET($AP$2,P97,0)))</f>
        <v/>
      </c>
      <c r="Q98" s="2549"/>
      <c r="R98" s="2549"/>
      <c r="S98" s="2550"/>
      <c r="T98" s="2548" t="str">
        <f ca="1">IF(ISBLANK(OFFSET($AP$2,T97,0)),"",CONCATENATE("Seq. ",OFFSET($AP$2,T97,0)))</f>
        <v/>
      </c>
      <c r="U98" s="2549"/>
      <c r="V98" s="2549"/>
      <c r="W98" s="2550"/>
      <c r="X98" s="2548" t="str">
        <f ca="1">IF(ISBLANK(OFFSET($AP$2,X97,0)),"",CONCATENATE("Seq. ",OFFSET($AP$2,X97,0)))</f>
        <v/>
      </c>
      <c r="Y98" s="2549"/>
      <c r="Z98" s="2549"/>
      <c r="AA98" s="2550"/>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51" t="s">
        <v>440</v>
      </c>
      <c r="E99" s="2552"/>
      <c r="F99" s="2552" t="s">
        <v>441</v>
      </c>
      <c r="G99" s="2553"/>
      <c r="H99" s="2551" t="s">
        <v>440</v>
      </c>
      <c r="I99" s="2552"/>
      <c r="J99" s="2552" t="s">
        <v>441</v>
      </c>
      <c r="K99" s="2553"/>
      <c r="L99" s="2551" t="s">
        <v>440</v>
      </c>
      <c r="M99" s="2552"/>
      <c r="N99" s="2552" t="s">
        <v>441</v>
      </c>
      <c r="O99" s="2553"/>
      <c r="P99" s="2551" t="s">
        <v>440</v>
      </c>
      <c r="Q99" s="2552"/>
      <c r="R99" s="2552" t="s">
        <v>441</v>
      </c>
      <c r="S99" s="2553"/>
      <c r="T99" s="2551" t="s">
        <v>440</v>
      </c>
      <c r="U99" s="2552"/>
      <c r="V99" s="2552" t="s">
        <v>441</v>
      </c>
      <c r="W99" s="2553"/>
      <c r="X99" s="2551" t="s">
        <v>440</v>
      </c>
      <c r="Y99" s="2552"/>
      <c r="Z99" s="2552" t="s">
        <v>441</v>
      </c>
      <c r="AA99" s="2553"/>
      <c r="AB99" s="57"/>
    </row>
    <row r="100" spans="1:54" ht="12.95" hidden="1" customHeight="1" x14ac:dyDescent="0.2">
      <c r="A100" s="57"/>
      <c r="B100" s="2554" t="s">
        <v>73</v>
      </c>
      <c r="C100" s="2555"/>
      <c r="D100" s="2536" t="str">
        <f ca="1">IF(ISBLANK(OFFSET($AP$2,D97,0)),"",OFFSET($AQ$2,D97,0)+OFFSET($AU$2,D97,0))</f>
        <v/>
      </c>
      <c r="E100" s="2537"/>
      <c r="F100" s="2538" t="str">
        <f ca="1">IF(ISBLANK(OFFSET($AP$2,D97,0)),"",(OFFSET($AQ$2,D97,0)+OFFSET($AU$2,D97,0))-(OFFSET($AW$2,D97,0)+OFFSET($BA$2,D97,0)))</f>
        <v/>
      </c>
      <c r="G100" s="2539"/>
      <c r="H100" s="2536" t="str">
        <f ca="1">IF(ISBLANK(OFFSET($AP$2,H97,0)),"",OFFSET($AQ$2,H97,0)+OFFSET($AU$2,H97,0))</f>
        <v/>
      </c>
      <c r="I100" s="2537"/>
      <c r="J100" s="2538" t="str">
        <f ca="1">IF(ISBLANK(OFFSET($AP$2,H97,0)),"",(OFFSET($AQ$2,H97,0)+OFFSET($AU$2,H97,0))-(OFFSET($AW$2,H97,0)+OFFSET($BA$2,H97,0)))</f>
        <v/>
      </c>
      <c r="K100" s="2539"/>
      <c r="L100" s="2536" t="str">
        <f ca="1">IF(ISBLANK(OFFSET($AP$2,L97,0)),"",OFFSET($AQ$2,L97,0)+OFFSET($AU$2,L97,0))</f>
        <v/>
      </c>
      <c r="M100" s="2537"/>
      <c r="N100" s="2538" t="str">
        <f ca="1">IF(ISBLANK(OFFSET($AP$2,L97,0)),"",(OFFSET($AQ$2,L97,0)+OFFSET($AU$2,L97,0))-(OFFSET($AW$2,L97,0)+OFFSET($BA$2,L97,0)))</f>
        <v/>
      </c>
      <c r="O100" s="2539"/>
      <c r="P100" s="2536" t="str">
        <f ca="1">IF(ISBLANK(OFFSET($AP$2,P97,0)),"",OFFSET($AQ$2,P97,0)+OFFSET($AU$2,P97,0))</f>
        <v/>
      </c>
      <c r="Q100" s="2537"/>
      <c r="R100" s="2538" t="str">
        <f ca="1">IF(ISBLANK(OFFSET($AP$2,P97,0)),"",(OFFSET($AQ$2,P97,0)+OFFSET($AU$2,P97,0))-(OFFSET($AW$2,P97,0)+OFFSET($BA$2,P97,0)))</f>
        <v/>
      </c>
      <c r="S100" s="2539"/>
      <c r="T100" s="2536" t="str">
        <f ca="1">IF(ISBLANK(OFFSET($AP$2,T97,0)),"",OFFSET($AQ$2,T97,0)+OFFSET($AU$2,T97,0))</f>
        <v/>
      </c>
      <c r="U100" s="2537"/>
      <c r="V100" s="2538" t="str">
        <f ca="1">IF(ISBLANK(OFFSET($AP$2,T97,0)),"",(OFFSET($AQ$2,T97,0)+OFFSET($AU$2,T97,0))-(OFFSET($AW$2,T97,0)+OFFSET($BA$2,T97,0)))</f>
        <v/>
      </c>
      <c r="W100" s="2539"/>
      <c r="X100" s="2536" t="str">
        <f ca="1">IF(ISBLANK(OFFSET($AP$2,X97,0)),"",OFFSET($AQ$2,X97,0)+OFFSET($AU$2,X97,0))</f>
        <v/>
      </c>
      <c r="Y100" s="2537"/>
      <c r="Z100" s="2538" t="str">
        <f ca="1">IF(ISBLANK(OFFSET($AP$2,X97,0)),"",(OFFSET($AQ$2,X97,0)+OFFSET($AU$2,X97,0))-(OFFSET($AW$2,X97,0)+OFFSET($BA$2,X97,0)))</f>
        <v/>
      </c>
      <c r="AA100" s="2539"/>
      <c r="AB100" s="57"/>
    </row>
    <row r="101" spans="1:54" ht="12.95" hidden="1" customHeight="1" x14ac:dyDescent="0.2">
      <c r="A101" s="57"/>
      <c r="B101" s="2540" t="s">
        <v>437</v>
      </c>
      <c r="C101" s="2541"/>
      <c r="D101" s="2536" t="str">
        <f ca="1">IF(ISBLANK(OFFSET($AP$2,D97,0)),"",OFFSET($AR$2,D97,0))</f>
        <v/>
      </c>
      <c r="E101" s="2537"/>
      <c r="F101" s="2538" t="str">
        <f ca="1">IF(ISBLANK(OFFSET($AP$2,D97,0)),"",OFFSET($AR$2,D97,0)-OFFSET($AX$2,D97,0))</f>
        <v/>
      </c>
      <c r="G101" s="2539"/>
      <c r="H101" s="2536" t="str">
        <f ca="1">IF(ISBLANK(OFFSET($AP$2,H97,0)),"",OFFSET($AR$2,H97,0))</f>
        <v/>
      </c>
      <c r="I101" s="2537"/>
      <c r="J101" s="2538" t="str">
        <f ca="1">IF(ISBLANK(OFFSET($AP$2,H97,0)),"",OFFSET($AR$2,H97,0)-OFFSET($AX$2,H97,0))</f>
        <v/>
      </c>
      <c r="K101" s="2539"/>
      <c r="L101" s="2536" t="str">
        <f ca="1">IF(ISBLANK(OFFSET($AP$2,L97,0)),"",OFFSET($AR$2,L97,0))</f>
        <v/>
      </c>
      <c r="M101" s="2537"/>
      <c r="N101" s="2538" t="str">
        <f ca="1">IF(ISBLANK(OFFSET($AP$2,L97,0)),"",OFFSET($AR$2,L97,0)-OFFSET($AX$2,L97,0))</f>
        <v/>
      </c>
      <c r="O101" s="2539"/>
      <c r="P101" s="2536" t="str">
        <f ca="1">IF(ISBLANK(OFFSET($AP$2,P97,0)),"",OFFSET($AR$2,P97,0))</f>
        <v/>
      </c>
      <c r="Q101" s="2537"/>
      <c r="R101" s="2538" t="str">
        <f ca="1">IF(ISBLANK(OFFSET($AP$2,P97,0)),"",OFFSET($AR$2,P97,0)-OFFSET($AX$2,P97,0))</f>
        <v/>
      </c>
      <c r="S101" s="2539"/>
      <c r="T101" s="2536" t="str">
        <f ca="1">IF(ISBLANK(OFFSET($AP$2,T97,0)),"",OFFSET($AR$2,T97,0))</f>
        <v/>
      </c>
      <c r="U101" s="2537"/>
      <c r="V101" s="2538" t="str">
        <f ca="1">IF(ISBLANK(OFFSET($AP$2,T97,0)),"",OFFSET($AR$2,T97,0)-OFFSET($AX$2,T97,0))</f>
        <v/>
      </c>
      <c r="W101" s="2539"/>
      <c r="X101" s="2536" t="str">
        <f ca="1">IF(ISBLANK(OFFSET($AP$2,X97,0)),"",OFFSET($AR$2,X97,0))</f>
        <v/>
      </c>
      <c r="Y101" s="2537"/>
      <c r="Z101" s="2538" t="str">
        <f ca="1">IF(ISBLANK(OFFSET($AP$2,X97,0)),"",OFFSET($AR$2,X97,0)-OFFSET($AX$2,X97,0))</f>
        <v/>
      </c>
      <c r="AA101" s="2539"/>
      <c r="AB101" s="57"/>
    </row>
    <row r="102" spans="1:54" ht="12.95" hidden="1" customHeight="1" x14ac:dyDescent="0.2">
      <c r="A102" s="57"/>
      <c r="B102" s="2540" t="s">
        <v>438</v>
      </c>
      <c r="C102" s="2541"/>
      <c r="D102" s="2536" t="str">
        <f ca="1">IF(ISBLANK(OFFSET($AP$2,D97,0)),"",OFFSET($AS$2,D97,0))</f>
        <v/>
      </c>
      <c r="E102" s="2537"/>
      <c r="F102" s="2538" t="str">
        <f ca="1">IF(ISBLANK(OFFSET($AP$2,D97,0)),"",OFFSET($AS$2,D97,0)-OFFSET($AY$2,D97,0))</f>
        <v/>
      </c>
      <c r="G102" s="2539"/>
      <c r="H102" s="2536" t="str">
        <f ca="1">IF(ISBLANK(OFFSET($AP$2,H97,0)),"",OFFSET($AS$2,H97,0))</f>
        <v/>
      </c>
      <c r="I102" s="2537"/>
      <c r="J102" s="2538" t="str">
        <f ca="1">IF(ISBLANK(OFFSET($AP$2,H97,0)),"",OFFSET($AS$2,H97,0)-OFFSET($AY$2,H97,0))</f>
        <v/>
      </c>
      <c r="K102" s="2539"/>
      <c r="L102" s="2536" t="str">
        <f ca="1">IF(ISBLANK(OFFSET($AP$2,L97,0)),"",OFFSET($AS$2,L97,0))</f>
        <v/>
      </c>
      <c r="M102" s="2537"/>
      <c r="N102" s="2538" t="str">
        <f ca="1">IF(ISBLANK(OFFSET($AP$2,L97,0)),"",OFFSET($AS$2,L97,0)-OFFSET($AY$2,L97,0))</f>
        <v/>
      </c>
      <c r="O102" s="2539"/>
      <c r="P102" s="2536" t="str">
        <f ca="1">IF(ISBLANK(OFFSET($AP$2,P97,0)),"",OFFSET($AS$2,P97,0))</f>
        <v/>
      </c>
      <c r="Q102" s="2537"/>
      <c r="R102" s="2538" t="str">
        <f ca="1">IF(ISBLANK(OFFSET($AP$2,P97,0)),"",OFFSET($AS$2,P97,0)-OFFSET($AY$2,P97,0))</f>
        <v/>
      </c>
      <c r="S102" s="2539"/>
      <c r="T102" s="2536" t="str">
        <f ca="1">IF(ISBLANK(OFFSET($AP$2,T97,0)),"",OFFSET($AS$2,T97,0))</f>
        <v/>
      </c>
      <c r="U102" s="2537"/>
      <c r="V102" s="2538" t="str">
        <f ca="1">IF(ISBLANK(OFFSET($AP$2,T97,0)),"",OFFSET($AS$2,T97,0)-OFFSET($AY$2,T97,0))</f>
        <v/>
      </c>
      <c r="W102" s="2539"/>
      <c r="X102" s="2536" t="str">
        <f ca="1">IF(ISBLANK(OFFSET($AP$2,X97,0)),"",OFFSET($AS$2,X97,0))</f>
        <v/>
      </c>
      <c r="Y102" s="2537"/>
      <c r="Z102" s="2538" t="str">
        <f ca="1">IF(ISBLANK(OFFSET($AP$2,X97,0)),"",OFFSET($AS$2,X97,0)-OFFSET($AY$2,X97,0))</f>
        <v/>
      </c>
      <c r="AA102" s="2539"/>
      <c r="AB102" s="57"/>
    </row>
    <row r="103" spans="1:54" ht="12.95" hidden="1" customHeight="1" x14ac:dyDescent="0.2">
      <c r="A103" s="57"/>
      <c r="B103" s="2540" t="s">
        <v>75</v>
      </c>
      <c r="C103" s="2541"/>
      <c r="D103" s="2536" t="str">
        <f ca="1">IF(ISBLANK(OFFSET($AP$2,D97,0)),"",OFFSET($AT$2,D97,0))</f>
        <v/>
      </c>
      <c r="E103" s="2537"/>
      <c r="F103" s="2538" t="str">
        <f ca="1">IF(ISBLANK(OFFSET($AP$2,D97,0)),"",OFFSET($AT$2,D97,0)-OFFSET($AZ$2,D97,0))</f>
        <v/>
      </c>
      <c r="G103" s="2539"/>
      <c r="H103" s="2536" t="str">
        <f ca="1">IF(ISBLANK(OFFSET($AP$2,H97,0)),"",OFFSET($AT$2,H97,0))</f>
        <v/>
      </c>
      <c r="I103" s="2537"/>
      <c r="J103" s="2538" t="str">
        <f ca="1">IF(ISBLANK(OFFSET($AP$2,H97,0)),"",OFFSET($AT$2,H97,0)-OFFSET($AZ$2,H97,0))</f>
        <v/>
      </c>
      <c r="K103" s="2539"/>
      <c r="L103" s="2536" t="str">
        <f ca="1">IF(ISBLANK(OFFSET($AP$2,L97,0)),"",OFFSET($AT$2,L97,0))</f>
        <v/>
      </c>
      <c r="M103" s="2537"/>
      <c r="N103" s="2538" t="str">
        <f ca="1">IF(ISBLANK(OFFSET($AP$2,L97,0)),"",OFFSET($AT$2,L97,0)-OFFSET($AZ$2,L97,0))</f>
        <v/>
      </c>
      <c r="O103" s="2539"/>
      <c r="P103" s="2536" t="str">
        <f ca="1">IF(ISBLANK(OFFSET($AP$2,P97,0)),"",OFFSET($AT$2,P97,0))</f>
        <v/>
      </c>
      <c r="Q103" s="2537"/>
      <c r="R103" s="2538" t="str">
        <f ca="1">IF(ISBLANK(OFFSET($AP$2,P97,0)),"",OFFSET($AT$2,P97,0)-OFFSET($AZ$2,P97,0))</f>
        <v/>
      </c>
      <c r="S103" s="2539"/>
      <c r="T103" s="2536" t="str">
        <f ca="1">IF(ISBLANK(OFFSET($AP$2,T97,0)),"",OFFSET($AT$2,T97,0))</f>
        <v/>
      </c>
      <c r="U103" s="2537"/>
      <c r="V103" s="2538" t="str">
        <f ca="1">IF(ISBLANK(OFFSET($AP$2,T97,0)),"",OFFSET($AT$2,T97,0)-OFFSET($AZ$2,T97,0))</f>
        <v/>
      </c>
      <c r="W103" s="2539"/>
      <c r="X103" s="2536" t="str">
        <f ca="1">IF(ISBLANK(OFFSET($AP$2,X97,0)),"",OFFSET($AT$2,X97,0))</f>
        <v/>
      </c>
      <c r="Y103" s="2537"/>
      <c r="Z103" s="2538" t="str">
        <f ca="1">IF(ISBLANK(OFFSET($AP$2,X97,0)),"",OFFSET($AT$2,X97,0)-OFFSET($AZ$2,X97,0))</f>
        <v/>
      </c>
      <c r="AA103" s="2539"/>
      <c r="AB103" s="57"/>
    </row>
    <row r="104" spans="1:54" ht="12.95" hidden="1" customHeight="1" thickBot="1" x14ac:dyDescent="0.25">
      <c r="A104" s="57"/>
      <c r="B104" s="2542" t="s">
        <v>439</v>
      </c>
      <c r="C104" s="2543"/>
      <c r="D104" s="2544" t="str">
        <f ca="1">IF(ISBLANK(OFFSET($AP$2,D97,0)),"",OFFSET($AV$2,D97,0))</f>
        <v/>
      </c>
      <c r="E104" s="2545"/>
      <c r="F104" s="2546" t="str">
        <f ca="1">IF(ISBLANK(OFFSET($AP$2,D97,0)),"",OFFSET($AV$2,D97,0)-OFFSET($BB$2,D97,0))</f>
        <v/>
      </c>
      <c r="G104" s="2547"/>
      <c r="H104" s="2544" t="str">
        <f ca="1">IF(ISBLANK(OFFSET($AP$2,H97,0)),"",OFFSET($AV$2,H97,0))</f>
        <v/>
      </c>
      <c r="I104" s="2545"/>
      <c r="J104" s="2546" t="str">
        <f ca="1">IF(ISBLANK(OFFSET($AP$2,H97,0)),"",OFFSET($AV$2,H97,0)-OFFSET($BB$2,H97,0))</f>
        <v/>
      </c>
      <c r="K104" s="2547"/>
      <c r="L104" s="2544" t="str">
        <f ca="1">IF(ISBLANK(OFFSET($AP$2,L97,0)),"",OFFSET($AV$2,L97,0))</f>
        <v/>
      </c>
      <c r="M104" s="2545"/>
      <c r="N104" s="2546" t="str">
        <f ca="1">IF(ISBLANK(OFFSET($AP$2,L97,0)),"",OFFSET($AV$2,L97,0)-OFFSET($BB$2,L97,0))</f>
        <v/>
      </c>
      <c r="O104" s="2547"/>
      <c r="P104" s="2544" t="str">
        <f ca="1">IF(ISBLANK(OFFSET($AP$2,P97,0)),"",OFFSET($AV$2,P97,0))</f>
        <v/>
      </c>
      <c r="Q104" s="2545"/>
      <c r="R104" s="2546" t="str">
        <f ca="1">IF(ISBLANK(OFFSET($AP$2,P97,0)),"",OFFSET($AV$2,P97,0)-OFFSET($BB$2,P97,0))</f>
        <v/>
      </c>
      <c r="S104" s="2547"/>
      <c r="T104" s="2544" t="str">
        <f ca="1">IF(ISBLANK(OFFSET($AP$2,T97,0)),"",OFFSET($AV$2,T97,0))</f>
        <v/>
      </c>
      <c r="U104" s="2545"/>
      <c r="V104" s="2546" t="str">
        <f ca="1">IF(ISBLANK(OFFSET($AP$2,T97,0)),"",OFFSET($AV$2,T97,0)-OFFSET($BB$2,T97,0))</f>
        <v/>
      </c>
      <c r="W104" s="2547"/>
      <c r="X104" s="2544" t="str">
        <f ca="1">IF(ISBLANK(OFFSET($AP$2,X97,0)),"",OFFSET($AV$2,X97,0))</f>
        <v/>
      </c>
      <c r="Y104" s="2545"/>
      <c r="Z104" s="2546" t="str">
        <f ca="1">IF(ISBLANK(OFFSET($AP$2,X97,0)),"",OFFSET($AV$2,X97,0)-OFFSET($BB$2,X97,0))</f>
        <v/>
      </c>
      <c r="AA104" s="2547"/>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48" t="str">
        <f ca="1">IF(ISBLANK(OFFSET($AP$2,D105,0)),"",CONCATENATE("Seq. ",OFFSET($AP$2,D105,0)))</f>
        <v/>
      </c>
      <c r="E106" s="2549"/>
      <c r="F106" s="2549"/>
      <c r="G106" s="2550"/>
      <c r="H106" s="2548" t="str">
        <f ca="1">IF(ISBLANK(OFFSET($AP$2,H105,0)),"",CONCATENATE("Seq. ",OFFSET($AP$2,H105,0)))</f>
        <v/>
      </c>
      <c r="I106" s="2549"/>
      <c r="J106" s="2549"/>
      <c r="K106" s="2550"/>
      <c r="L106" s="2548" t="str">
        <f ca="1">IF(ISBLANK(OFFSET($AP$2,L105,0)),"",CONCATENATE("Seq. ",OFFSET($AP$2,L105,0)))</f>
        <v/>
      </c>
      <c r="M106" s="2549"/>
      <c r="N106" s="2549"/>
      <c r="O106" s="2550"/>
      <c r="P106" s="2548" t="str">
        <f ca="1">IF(ISBLANK(OFFSET($AP$2,P105,0)),"",CONCATENATE("Seq. ",OFFSET($AP$2,P105,0)))</f>
        <v/>
      </c>
      <c r="Q106" s="2549"/>
      <c r="R106" s="2549"/>
      <c r="S106" s="2550"/>
      <c r="T106" s="2548" t="str">
        <f ca="1">IF(ISBLANK(OFFSET($AP$2,T105,0)),"",CONCATENATE("Seq. ",OFFSET($AP$2,T105,0)))</f>
        <v/>
      </c>
      <c r="U106" s="2549"/>
      <c r="V106" s="2549"/>
      <c r="W106" s="2550"/>
      <c r="X106" s="2548" t="str">
        <f ca="1">IF(ISBLANK(OFFSET($AP$2,X105,0)),"",CONCATENATE("Seq. ",OFFSET($AP$2,X105,0)))</f>
        <v/>
      </c>
      <c r="Y106" s="2549"/>
      <c r="Z106" s="2549"/>
      <c r="AA106" s="2550"/>
      <c r="AB106" s="57"/>
    </row>
    <row r="107" spans="1:54" ht="12.95" hidden="1" customHeight="1" thickBot="1" x14ac:dyDescent="0.25">
      <c r="A107" s="57"/>
      <c r="B107" s="41"/>
      <c r="C107" s="42"/>
      <c r="D107" s="2551" t="s">
        <v>440</v>
      </c>
      <c r="E107" s="2552"/>
      <c r="F107" s="2552" t="s">
        <v>441</v>
      </c>
      <c r="G107" s="2553"/>
      <c r="H107" s="2551" t="s">
        <v>440</v>
      </c>
      <c r="I107" s="2552"/>
      <c r="J107" s="2552" t="s">
        <v>441</v>
      </c>
      <c r="K107" s="2553"/>
      <c r="L107" s="2551" t="s">
        <v>440</v>
      </c>
      <c r="M107" s="2552"/>
      <c r="N107" s="2552" t="s">
        <v>441</v>
      </c>
      <c r="O107" s="2553"/>
      <c r="P107" s="2551" t="s">
        <v>440</v>
      </c>
      <c r="Q107" s="2552"/>
      <c r="R107" s="2552" t="s">
        <v>441</v>
      </c>
      <c r="S107" s="2553"/>
      <c r="T107" s="2551" t="s">
        <v>440</v>
      </c>
      <c r="U107" s="2552"/>
      <c r="V107" s="2552" t="s">
        <v>441</v>
      </c>
      <c r="W107" s="2553"/>
      <c r="X107" s="2551" t="s">
        <v>440</v>
      </c>
      <c r="Y107" s="2552"/>
      <c r="Z107" s="2552" t="s">
        <v>441</v>
      </c>
      <c r="AA107" s="2553"/>
      <c r="AB107" s="57"/>
    </row>
    <row r="108" spans="1:54" ht="12.95" hidden="1" customHeight="1" x14ac:dyDescent="0.2">
      <c r="A108" s="57"/>
      <c r="B108" s="2554" t="s">
        <v>73</v>
      </c>
      <c r="C108" s="2555"/>
      <c r="D108" s="2536" t="str">
        <f ca="1">IF(ISBLANK(OFFSET($AP$2,D105,0)),"",OFFSET($AQ$2,D105,0)+OFFSET($AU$2,D105,0))</f>
        <v/>
      </c>
      <c r="E108" s="2537"/>
      <c r="F108" s="2538" t="str">
        <f ca="1">IF(ISBLANK(OFFSET($AP$2,D105,0)),"",(OFFSET($AQ$2,D105,0)+OFFSET($AU$2,D105,0))-(OFFSET($AW$2,D105,0)+OFFSET($BA$2,D105,0)))</f>
        <v/>
      </c>
      <c r="G108" s="2539"/>
      <c r="H108" s="2536" t="str">
        <f ca="1">IF(ISBLANK(OFFSET($AP$2,H105,0)),"",OFFSET($AQ$2,H105,0)+OFFSET($AU$2,H105,0))</f>
        <v/>
      </c>
      <c r="I108" s="2537"/>
      <c r="J108" s="2538" t="str">
        <f ca="1">IF(ISBLANK(OFFSET($AP$2,H105,0)),"",(OFFSET($AQ$2,H105,0)+OFFSET($AU$2,H105,0))-(OFFSET($AW$2,H105,0)+OFFSET($BA$2,H105,0)))</f>
        <v/>
      </c>
      <c r="K108" s="2539"/>
      <c r="L108" s="2536" t="str">
        <f ca="1">IF(ISBLANK(OFFSET($AP$2,L105,0)),"",OFFSET($AQ$2,L105,0)+OFFSET($AU$2,L105,0))</f>
        <v/>
      </c>
      <c r="M108" s="2537"/>
      <c r="N108" s="2538" t="str">
        <f ca="1">IF(ISBLANK(OFFSET($AP$2,L105,0)),"",(OFFSET($AQ$2,L105,0)+OFFSET($AU$2,L105,0))-(OFFSET($AW$2,L105,0)+OFFSET($BA$2,L105,0)))</f>
        <v/>
      </c>
      <c r="O108" s="2539"/>
      <c r="P108" s="2536" t="str">
        <f ca="1">IF(ISBLANK(OFFSET($AP$2,P105,0)),"",OFFSET($AQ$2,P105,0)+OFFSET($AU$2,P105,0))</f>
        <v/>
      </c>
      <c r="Q108" s="2537"/>
      <c r="R108" s="2538" t="str">
        <f ca="1">IF(ISBLANK(OFFSET($AP$2,P105,0)),"",(OFFSET($AQ$2,P105,0)+OFFSET($AU$2,P105,0))-(OFFSET($AW$2,P105,0)+OFFSET($BA$2,P105,0)))</f>
        <v/>
      </c>
      <c r="S108" s="2539"/>
      <c r="T108" s="2536" t="str">
        <f ca="1">IF(ISBLANK(OFFSET($AP$2,T105,0)),"",OFFSET($AQ$2,T105,0)+OFFSET($AU$2,T105,0))</f>
        <v/>
      </c>
      <c r="U108" s="2537"/>
      <c r="V108" s="2538" t="str">
        <f ca="1">IF(ISBLANK(OFFSET($AP$2,T105,0)),"",(OFFSET($AQ$2,T105,0)+OFFSET($AU$2,T105,0))-(OFFSET($AW$2,T105,0)+OFFSET($BA$2,T105,0)))</f>
        <v/>
      </c>
      <c r="W108" s="2539"/>
      <c r="X108" s="2536" t="str">
        <f ca="1">IF(ISBLANK(OFFSET($AP$2,X105,0)),"",OFFSET($AQ$2,X105,0)+OFFSET($AU$2,X105,0))</f>
        <v/>
      </c>
      <c r="Y108" s="2537"/>
      <c r="Z108" s="2538" t="str">
        <f ca="1">IF(ISBLANK(OFFSET($AP$2,X105,0)),"",(OFFSET($AQ$2,X105,0)+OFFSET($AU$2,X105,0))-(OFFSET($AW$2,X105,0)+OFFSET($BA$2,X105,0)))</f>
        <v/>
      </c>
      <c r="AA108" s="2539"/>
      <c r="AB108" s="57"/>
    </row>
    <row r="109" spans="1:54" ht="12.95" hidden="1" customHeight="1" x14ac:dyDescent="0.2">
      <c r="A109" s="57"/>
      <c r="B109" s="2540" t="s">
        <v>437</v>
      </c>
      <c r="C109" s="2541"/>
      <c r="D109" s="2536" t="str">
        <f ca="1">IF(ISBLANK(OFFSET($AP$2,D105,0)),"",OFFSET($AR$2,D105,0))</f>
        <v/>
      </c>
      <c r="E109" s="2537"/>
      <c r="F109" s="2538" t="str">
        <f ca="1">IF(ISBLANK(OFFSET($AP$2,D105,0)),"",OFFSET($AR$2,D105,0)-OFFSET($AX$2,D105,0))</f>
        <v/>
      </c>
      <c r="G109" s="2539"/>
      <c r="H109" s="2536" t="str">
        <f ca="1">IF(ISBLANK(OFFSET($AP$2,H105,0)),"",OFFSET($AR$2,H105,0))</f>
        <v/>
      </c>
      <c r="I109" s="2537"/>
      <c r="J109" s="2538" t="str">
        <f ca="1">IF(ISBLANK(OFFSET($AP$2,H105,0)),"",OFFSET($AR$2,H105,0)-OFFSET($AX$2,H105,0))</f>
        <v/>
      </c>
      <c r="K109" s="2539"/>
      <c r="L109" s="2536" t="str">
        <f ca="1">IF(ISBLANK(OFFSET($AP$2,L105,0)),"",OFFSET($AR$2,L105,0))</f>
        <v/>
      </c>
      <c r="M109" s="2537"/>
      <c r="N109" s="2538" t="str">
        <f ca="1">IF(ISBLANK(OFFSET($AP$2,L105,0)),"",OFFSET($AR$2,L105,0)-OFFSET($AX$2,L105,0))</f>
        <v/>
      </c>
      <c r="O109" s="2539"/>
      <c r="P109" s="2536" t="str">
        <f ca="1">IF(ISBLANK(OFFSET($AP$2,P105,0)),"",OFFSET($AR$2,P105,0))</f>
        <v/>
      </c>
      <c r="Q109" s="2537"/>
      <c r="R109" s="2538" t="str">
        <f ca="1">IF(ISBLANK(OFFSET($AP$2,P105,0)),"",OFFSET($AR$2,P105,0)-OFFSET($AX$2,P105,0))</f>
        <v/>
      </c>
      <c r="S109" s="2539"/>
      <c r="T109" s="2536" t="str">
        <f ca="1">IF(ISBLANK(OFFSET($AP$2,T105,0)),"",OFFSET($AR$2,T105,0))</f>
        <v/>
      </c>
      <c r="U109" s="2537"/>
      <c r="V109" s="2538" t="str">
        <f ca="1">IF(ISBLANK(OFFSET($AP$2,T105,0)),"",OFFSET($AR$2,T105,0)-OFFSET($AX$2,T105,0))</f>
        <v/>
      </c>
      <c r="W109" s="2539"/>
      <c r="X109" s="2536" t="str">
        <f ca="1">IF(ISBLANK(OFFSET($AP$2,X105,0)),"",OFFSET($AR$2,X105,0))</f>
        <v/>
      </c>
      <c r="Y109" s="2537"/>
      <c r="Z109" s="2538" t="str">
        <f ca="1">IF(ISBLANK(OFFSET($AP$2,X105,0)),"",OFFSET($AR$2,X105,0)-OFFSET($AX$2,X105,0))</f>
        <v/>
      </c>
      <c r="AA109" s="2539"/>
      <c r="AB109" s="57"/>
    </row>
    <row r="110" spans="1:54" ht="12.95" hidden="1" customHeight="1" x14ac:dyDescent="0.2">
      <c r="A110" s="57"/>
      <c r="B110" s="2540" t="s">
        <v>438</v>
      </c>
      <c r="C110" s="2541"/>
      <c r="D110" s="2536" t="str">
        <f ca="1">IF(ISBLANK(OFFSET($AP$2,D105,0)),"",OFFSET($AS$2,D105,0))</f>
        <v/>
      </c>
      <c r="E110" s="2537"/>
      <c r="F110" s="2538" t="str">
        <f ca="1">IF(ISBLANK(OFFSET($AP$2,D105,0)),"",OFFSET($AS$2,D105,0)-OFFSET($AY$2,D105,0))</f>
        <v/>
      </c>
      <c r="G110" s="2539"/>
      <c r="H110" s="2536" t="str">
        <f ca="1">IF(ISBLANK(OFFSET($AP$2,H105,0)),"",OFFSET($AS$2,H105,0))</f>
        <v/>
      </c>
      <c r="I110" s="2537"/>
      <c r="J110" s="2538" t="str">
        <f ca="1">IF(ISBLANK(OFFSET($AP$2,H105,0)),"",OFFSET($AS$2,H105,0)-OFFSET($AY$2,H105,0))</f>
        <v/>
      </c>
      <c r="K110" s="2539"/>
      <c r="L110" s="2536" t="str">
        <f ca="1">IF(ISBLANK(OFFSET($AP$2,L105,0)),"",OFFSET($AS$2,L105,0))</f>
        <v/>
      </c>
      <c r="M110" s="2537"/>
      <c r="N110" s="2538" t="str">
        <f ca="1">IF(ISBLANK(OFFSET($AP$2,L105,0)),"",OFFSET($AS$2,L105,0)-OFFSET($AY$2,L105,0))</f>
        <v/>
      </c>
      <c r="O110" s="2539"/>
      <c r="P110" s="2536" t="str">
        <f ca="1">IF(ISBLANK(OFFSET($AP$2,P105,0)),"",OFFSET($AS$2,P105,0))</f>
        <v/>
      </c>
      <c r="Q110" s="2537"/>
      <c r="R110" s="2538" t="str">
        <f ca="1">IF(ISBLANK(OFFSET($AP$2,P105,0)),"",OFFSET($AS$2,P105,0)-OFFSET($AY$2,P105,0))</f>
        <v/>
      </c>
      <c r="S110" s="2539"/>
      <c r="T110" s="2536" t="str">
        <f ca="1">IF(ISBLANK(OFFSET($AP$2,T105,0)),"",OFFSET($AS$2,T105,0))</f>
        <v/>
      </c>
      <c r="U110" s="2537"/>
      <c r="V110" s="2538" t="str">
        <f ca="1">IF(ISBLANK(OFFSET($AP$2,T105,0)),"",OFFSET($AS$2,T105,0)-OFFSET($AY$2,T105,0))</f>
        <v/>
      </c>
      <c r="W110" s="2539"/>
      <c r="X110" s="2536" t="str">
        <f ca="1">IF(ISBLANK(OFFSET($AP$2,X105,0)),"",OFFSET($AS$2,X105,0))</f>
        <v/>
      </c>
      <c r="Y110" s="2537"/>
      <c r="Z110" s="2538" t="str">
        <f ca="1">IF(ISBLANK(OFFSET($AP$2,X105,0)),"",OFFSET($AS$2,X105,0)-OFFSET($AY$2,X105,0))</f>
        <v/>
      </c>
      <c r="AA110" s="2539"/>
      <c r="AB110" s="57"/>
    </row>
    <row r="111" spans="1:54" ht="12.95" hidden="1" customHeight="1" x14ac:dyDescent="0.2">
      <c r="A111" s="57"/>
      <c r="B111" s="2540" t="s">
        <v>75</v>
      </c>
      <c r="C111" s="2541"/>
      <c r="D111" s="2536" t="str">
        <f ca="1">IF(ISBLANK(OFFSET($AP$2,D105,0)),"",OFFSET($AT$2,D105,0))</f>
        <v/>
      </c>
      <c r="E111" s="2537"/>
      <c r="F111" s="2538" t="str">
        <f ca="1">IF(ISBLANK(OFFSET($AP$2,D105,0)),"",OFFSET($AT$2,D105,0)-OFFSET($AZ$2,D105,0))</f>
        <v/>
      </c>
      <c r="G111" s="2539"/>
      <c r="H111" s="2536" t="str">
        <f ca="1">IF(ISBLANK(OFFSET($AP$2,H105,0)),"",OFFSET($AT$2,H105,0))</f>
        <v/>
      </c>
      <c r="I111" s="2537"/>
      <c r="J111" s="2538" t="str">
        <f ca="1">IF(ISBLANK(OFFSET($AP$2,H105,0)),"",OFFSET($AT$2,H105,0)-OFFSET($AZ$2,H105,0))</f>
        <v/>
      </c>
      <c r="K111" s="2539"/>
      <c r="L111" s="2536" t="str">
        <f ca="1">IF(ISBLANK(OFFSET($AP$2,L105,0)),"",OFFSET($AT$2,L105,0))</f>
        <v/>
      </c>
      <c r="M111" s="2537"/>
      <c r="N111" s="2538" t="str">
        <f ca="1">IF(ISBLANK(OFFSET($AP$2,L105,0)),"",OFFSET($AT$2,L105,0)-OFFSET($AZ$2,L105,0))</f>
        <v/>
      </c>
      <c r="O111" s="2539"/>
      <c r="P111" s="2536" t="str">
        <f ca="1">IF(ISBLANK(OFFSET($AP$2,P105,0)),"",OFFSET($AT$2,P105,0))</f>
        <v/>
      </c>
      <c r="Q111" s="2537"/>
      <c r="R111" s="2538" t="str">
        <f ca="1">IF(ISBLANK(OFFSET($AP$2,P105,0)),"",OFFSET($AT$2,P105,0)-OFFSET($AZ$2,P105,0))</f>
        <v/>
      </c>
      <c r="S111" s="2539"/>
      <c r="T111" s="2536" t="str">
        <f ca="1">IF(ISBLANK(OFFSET($AP$2,T105,0)),"",OFFSET($AT$2,T105,0))</f>
        <v/>
      </c>
      <c r="U111" s="2537"/>
      <c r="V111" s="2538" t="str">
        <f ca="1">IF(ISBLANK(OFFSET($AP$2,T105,0)),"",OFFSET($AT$2,T105,0)-OFFSET($AZ$2,T105,0))</f>
        <v/>
      </c>
      <c r="W111" s="2539"/>
      <c r="X111" s="2536" t="str">
        <f ca="1">IF(ISBLANK(OFFSET($AP$2,X105,0)),"",OFFSET($AT$2,X105,0))</f>
        <v/>
      </c>
      <c r="Y111" s="2537"/>
      <c r="Z111" s="2538" t="str">
        <f ca="1">IF(ISBLANK(OFFSET($AP$2,X105,0)),"",OFFSET($AT$2,X105,0)-OFFSET($AZ$2,X105,0))</f>
        <v/>
      </c>
      <c r="AA111" s="2539"/>
      <c r="AB111" s="57"/>
    </row>
    <row r="112" spans="1:54" ht="12.95" hidden="1" customHeight="1" thickBot="1" x14ac:dyDescent="0.25">
      <c r="A112" s="57"/>
      <c r="B112" s="2542" t="s">
        <v>439</v>
      </c>
      <c r="C112" s="2543"/>
      <c r="D112" s="2544" t="str">
        <f ca="1">IF(ISBLANK(OFFSET($AP$2,D105,0)),"",OFFSET($AV$2,D105,0))</f>
        <v/>
      </c>
      <c r="E112" s="2545"/>
      <c r="F112" s="2546" t="str">
        <f ca="1">IF(ISBLANK(OFFSET($AP$2,D105,0)),"",OFFSET($AV$2,D105,0)-OFFSET($BB$2,D105,0))</f>
        <v/>
      </c>
      <c r="G112" s="2547"/>
      <c r="H112" s="2544" t="str">
        <f ca="1">IF(ISBLANK(OFFSET($AP$2,H105,0)),"",OFFSET($AV$2,H105,0))</f>
        <v/>
      </c>
      <c r="I112" s="2545"/>
      <c r="J112" s="2546" t="str">
        <f ca="1">IF(ISBLANK(OFFSET($AP$2,H105,0)),"",OFFSET($AV$2,H105,0)-OFFSET($BB$2,H105,0))</f>
        <v/>
      </c>
      <c r="K112" s="2547"/>
      <c r="L112" s="2544" t="str">
        <f ca="1">IF(ISBLANK(OFFSET($AP$2,L105,0)),"",OFFSET($AV$2,L105,0))</f>
        <v/>
      </c>
      <c r="M112" s="2545"/>
      <c r="N112" s="2546" t="str">
        <f ca="1">IF(ISBLANK(OFFSET($AP$2,L105,0)),"",OFFSET($AV$2,L105,0)-OFFSET($BB$2,L105,0))</f>
        <v/>
      </c>
      <c r="O112" s="2547"/>
      <c r="P112" s="2544" t="str">
        <f ca="1">IF(ISBLANK(OFFSET($AP$2,P105,0)),"",OFFSET($AV$2,P105,0))</f>
        <v/>
      </c>
      <c r="Q112" s="2545"/>
      <c r="R112" s="2546" t="str">
        <f ca="1">IF(ISBLANK(OFFSET($AP$2,P105,0)),"",OFFSET($AV$2,P105,0)-OFFSET($BB$2,P105,0))</f>
        <v/>
      </c>
      <c r="S112" s="2547"/>
      <c r="T112" s="2544" t="str">
        <f ca="1">IF(ISBLANK(OFFSET($AP$2,T105,0)),"",OFFSET($AV$2,T105,0))</f>
        <v/>
      </c>
      <c r="U112" s="2545"/>
      <c r="V112" s="2546" t="str">
        <f ca="1">IF(ISBLANK(OFFSET($AP$2,T105,0)),"",OFFSET($AV$2,T105,0)-OFFSET($BB$2,T105,0))</f>
        <v/>
      </c>
      <c r="W112" s="2547"/>
      <c r="X112" s="2544" t="str">
        <f ca="1">IF(ISBLANK(OFFSET($AP$2,X105,0)),"",OFFSET($AV$2,X105,0))</f>
        <v/>
      </c>
      <c r="Y112" s="2545"/>
      <c r="Z112" s="2546" t="str">
        <f ca="1">IF(ISBLANK(OFFSET($AP$2,X105,0)),"",OFFSET($AV$2,X105,0)-OFFSET($BB$2,X105,0))</f>
        <v/>
      </c>
      <c r="AA112" s="2547"/>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60" t="str">
        <f ca="1">X1</f>
        <v>775-428-0600</v>
      </c>
      <c r="Y113" s="2560"/>
      <c r="Z113" s="2560"/>
      <c r="AA113" s="2560"/>
      <c r="AB113" s="2560"/>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60" t="str">
        <f ca="1">X2</f>
        <v>775-867-2140</v>
      </c>
      <c r="Y114" s="2560"/>
      <c r="Z114" s="2560"/>
      <c r="AA114" s="2560"/>
      <c r="AB114" s="2560"/>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60" t="str">
        <f ca="1">X3</f>
        <v>775-867-2169</v>
      </c>
      <c r="Y115" s="2560"/>
      <c r="Z115" s="2560"/>
      <c r="AA115" s="2560"/>
      <c r="AB115" s="2560"/>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60" t="str">
        <f ca="1">X4</f>
        <v>775-867-2060</v>
      </c>
      <c r="Y116" s="2560"/>
      <c r="Z116" s="2560"/>
      <c r="AA116" s="2560"/>
      <c r="AB116" s="2560"/>
    </row>
    <row r="117" spans="1:28" ht="12.95" hidden="1" customHeight="1" x14ac:dyDescent="0.2">
      <c r="A117" s="1818" t="str">
        <f ca="1">A5</f>
        <v>8200 Woolery Way | Fallon, NV 89406 | www.newmill.com</v>
      </c>
      <c r="B117" s="1818"/>
      <c r="C117" s="1818"/>
      <c r="D117" s="1818"/>
      <c r="E117" s="1818"/>
      <c r="F117" s="1818"/>
      <c r="G117" s="1818"/>
      <c r="H117" s="1818"/>
      <c r="I117" s="1818"/>
      <c r="J117" s="1818"/>
      <c r="K117" s="1818"/>
      <c r="L117" s="1818"/>
      <c r="M117" s="1818"/>
      <c r="N117" s="1818"/>
      <c r="O117" s="1818"/>
      <c r="P117"/>
      <c r="Q117"/>
      <c r="R117" s="39"/>
      <c r="S117"/>
      <c r="T117"/>
      <c r="U117"/>
      <c r="V117"/>
      <c r="W117"/>
      <c r="X117" s="50" t="s">
        <v>421</v>
      </c>
      <c r="Y117" s="2565">
        <f>Y5</f>
        <v>45048.61509259259</v>
      </c>
      <c r="Z117" s="2566"/>
      <c r="AA117" s="2566"/>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7"/>
      <c r="Z118" s="2568"/>
      <c r="AA118" s="2568"/>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9"/>
      <c r="Z119" s="2144"/>
      <c r="AA119" s="214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2"/>
      <c r="Z120" s="2563"/>
      <c r="AA120" s="2563"/>
      <c r="AB120"/>
    </row>
    <row r="121" spans="1:28" ht="12.95" hidden="1" customHeight="1" x14ac:dyDescent="0.2">
      <c r="A121" s="2556" t="s">
        <v>1</v>
      </c>
      <c r="B121" s="2268"/>
      <c r="C121" s="2268"/>
      <c r="D121" s="2557" t="str">
        <f>D9</f>
        <v>MINDEN UPS BLDG 1</v>
      </c>
      <c r="E121" s="2557"/>
      <c r="F121" s="2557"/>
      <c r="G121" s="2557"/>
      <c r="H121" s="2557"/>
      <c r="I121" s="2557"/>
      <c r="J121" s="2557"/>
      <c r="K121" s="2557"/>
      <c r="L121" s="2557"/>
      <c r="M121" s="2557"/>
      <c r="N121" s="2557"/>
      <c r="O121" s="2557"/>
      <c r="P121" s="2558"/>
      <c r="Q121" s="96"/>
      <c r="R121" s="20" t="s">
        <v>2</v>
      </c>
      <c r="S121" s="2564" t="str">
        <f>S9</f>
        <v>NN22-0071</v>
      </c>
      <c r="T121" s="2268"/>
      <c r="U121" s="2268"/>
      <c r="V121" s="2268"/>
      <c r="W121" s="2268"/>
      <c r="X121" s="96"/>
      <c r="Y121" s="96"/>
      <c r="Z121" s="96"/>
      <c r="AA121" s="96"/>
      <c r="AB121" s="97"/>
    </row>
    <row r="122" spans="1:28" ht="12.95" hidden="1" customHeight="1" x14ac:dyDescent="0.2">
      <c r="A122" s="2556" t="s">
        <v>3</v>
      </c>
      <c r="B122" s="2268"/>
      <c r="C122" s="2268"/>
      <c r="D122" s="2557" t="str">
        <f>D10</f>
        <v>MINDEN, NV</v>
      </c>
      <c r="E122" s="2557"/>
      <c r="F122" s="2557"/>
      <c r="G122" s="2557"/>
      <c r="H122" s="2557"/>
      <c r="I122" s="2557"/>
      <c r="J122" s="2557"/>
      <c r="K122" s="2557"/>
      <c r="L122" s="2557"/>
      <c r="M122" s="2557"/>
      <c r="N122" s="2557"/>
      <c r="O122" s="2557"/>
      <c r="P122" s="2558"/>
      <c r="Q122" s="96"/>
      <c r="R122" s="20" t="s">
        <v>428</v>
      </c>
      <c r="S122" s="2559" t="str">
        <f>S10</f>
        <v>JMM</v>
      </c>
      <c r="T122" s="2268"/>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48" t="str">
        <f ca="1">IF(ISBLANK(OFFSET($AP$2,D123,0)),"",CONCATENATE("Seq. ",OFFSET($AP$2,D123,0)))</f>
        <v/>
      </c>
      <c r="E124" s="2549"/>
      <c r="F124" s="2549"/>
      <c r="G124" s="2550"/>
      <c r="H124" s="2548" t="str">
        <f ca="1">IF(ISBLANK(OFFSET($AP$2,H123,0)),"",CONCATENATE("Seq. ",OFFSET($AP$2,H123,0)))</f>
        <v/>
      </c>
      <c r="I124" s="2549"/>
      <c r="J124" s="2549"/>
      <c r="K124" s="2550"/>
      <c r="L124" s="2548" t="str">
        <f ca="1">IF(ISBLANK(OFFSET($AP$2,L123,0)),"",CONCATENATE("Seq. ",OFFSET($AP$2,L123,0)))</f>
        <v/>
      </c>
      <c r="M124" s="2549"/>
      <c r="N124" s="2549"/>
      <c r="O124" s="2550"/>
      <c r="P124" s="2548" t="str">
        <f ca="1">IF(ISBLANK(OFFSET($AP$2,P123,0)),"",CONCATENATE("Seq. ",OFFSET($AP$2,P123,0)))</f>
        <v/>
      </c>
      <c r="Q124" s="2549"/>
      <c r="R124" s="2549"/>
      <c r="S124" s="2550"/>
      <c r="T124" s="2548" t="str">
        <f ca="1">IF(ISBLANK(OFFSET($AP$2,T123,0)),"",CONCATENATE("Seq. ",OFFSET($AP$2,T123,0)))</f>
        <v/>
      </c>
      <c r="U124" s="2549"/>
      <c r="V124" s="2549"/>
      <c r="W124" s="2550"/>
      <c r="X124" s="2548" t="str">
        <f ca="1">IF(ISBLANK(OFFSET($AP$2,X123,0)),"",CONCATENATE("Seq. ",OFFSET($AP$2,X123,0)))</f>
        <v/>
      </c>
      <c r="Y124" s="2549"/>
      <c r="Z124" s="2549"/>
      <c r="AA124" s="2550"/>
      <c r="AB124" s="57"/>
    </row>
    <row r="125" spans="1:28" ht="12.95" hidden="1" customHeight="1" thickBot="1" x14ac:dyDescent="0.25">
      <c r="A125" s="57"/>
      <c r="B125" s="41"/>
      <c r="C125" s="42"/>
      <c r="D125" s="2551" t="s">
        <v>440</v>
      </c>
      <c r="E125" s="2552"/>
      <c r="F125" s="2552" t="s">
        <v>441</v>
      </c>
      <c r="G125" s="2553"/>
      <c r="H125" s="2551" t="s">
        <v>440</v>
      </c>
      <c r="I125" s="2552"/>
      <c r="J125" s="2552" t="s">
        <v>441</v>
      </c>
      <c r="K125" s="2553"/>
      <c r="L125" s="2551" t="s">
        <v>440</v>
      </c>
      <c r="M125" s="2552"/>
      <c r="N125" s="2552" t="s">
        <v>441</v>
      </c>
      <c r="O125" s="2553"/>
      <c r="P125" s="2551" t="s">
        <v>440</v>
      </c>
      <c r="Q125" s="2552"/>
      <c r="R125" s="2552" t="s">
        <v>441</v>
      </c>
      <c r="S125" s="2553"/>
      <c r="T125" s="2551" t="s">
        <v>440</v>
      </c>
      <c r="U125" s="2552"/>
      <c r="V125" s="2552" t="s">
        <v>441</v>
      </c>
      <c r="W125" s="2553"/>
      <c r="X125" s="2551" t="s">
        <v>440</v>
      </c>
      <c r="Y125" s="2552"/>
      <c r="Z125" s="2552" t="s">
        <v>441</v>
      </c>
      <c r="AA125" s="2553"/>
      <c r="AB125" s="57"/>
    </row>
    <row r="126" spans="1:28" ht="12.95" hidden="1" customHeight="1" x14ac:dyDescent="0.2">
      <c r="A126" s="57"/>
      <c r="B126" s="2554" t="s">
        <v>73</v>
      </c>
      <c r="C126" s="2555"/>
      <c r="D126" s="2536" t="str">
        <f ca="1">IF(ISBLANK(OFFSET($AP$2,D123,0)),"",OFFSET($AQ$2,D123,0)+OFFSET($AU$2,D123,0))</f>
        <v/>
      </c>
      <c r="E126" s="2537"/>
      <c r="F126" s="2538" t="str">
        <f ca="1">IF(ISBLANK(OFFSET($AP$2,D123,0)),"",(OFFSET($AQ$2,D123,0)+OFFSET($AU$2,D123,0))-(OFFSET($AW$2,D123,0)+OFFSET($BA$2,D123,0)))</f>
        <v/>
      </c>
      <c r="G126" s="2539"/>
      <c r="H126" s="2536" t="str">
        <f ca="1">IF(ISBLANK(OFFSET($AP$2,H123,0)),"",OFFSET($AQ$2,H123,0)+OFFSET($AU$2,H123,0))</f>
        <v/>
      </c>
      <c r="I126" s="2537"/>
      <c r="J126" s="2538" t="str">
        <f ca="1">IF(ISBLANK(OFFSET($AP$2,H123,0)),"",(OFFSET($AQ$2,H123,0)+OFFSET($AU$2,H123,0))-(OFFSET($AW$2,H123,0)+OFFSET($BA$2,H123,0)))</f>
        <v/>
      </c>
      <c r="K126" s="2539"/>
      <c r="L126" s="2536" t="str">
        <f ca="1">IF(ISBLANK(OFFSET($AP$2,L123,0)),"",OFFSET($AQ$2,L123,0)+OFFSET($AU$2,L123,0))</f>
        <v/>
      </c>
      <c r="M126" s="2537"/>
      <c r="N126" s="2538" t="str">
        <f ca="1">IF(ISBLANK(OFFSET($AP$2,L123,0)),"",(OFFSET($AQ$2,L123,0)+OFFSET($AU$2,L123,0))-(OFFSET($AW$2,L123,0)+OFFSET($BA$2,L123,0)))</f>
        <v/>
      </c>
      <c r="O126" s="2539"/>
      <c r="P126" s="2536" t="str">
        <f ca="1">IF(ISBLANK(OFFSET($AP$2,P123,0)),"",OFFSET($AQ$2,P123,0)+OFFSET($AU$2,P123,0))</f>
        <v/>
      </c>
      <c r="Q126" s="2537"/>
      <c r="R126" s="2538" t="str">
        <f ca="1">IF(ISBLANK(OFFSET($AP$2,P123,0)),"",(OFFSET($AQ$2,P123,0)+OFFSET($AU$2,P123,0))-(OFFSET($AW$2,P123,0)+OFFSET($BA$2,P123,0)))</f>
        <v/>
      </c>
      <c r="S126" s="2539"/>
      <c r="T126" s="2536" t="str">
        <f ca="1">IF(ISBLANK(OFFSET($AP$2,T123,0)),"",OFFSET($AQ$2,T123,0)+OFFSET($AU$2,T123,0))</f>
        <v/>
      </c>
      <c r="U126" s="2537"/>
      <c r="V126" s="2538" t="str">
        <f ca="1">IF(ISBLANK(OFFSET($AP$2,T123,0)),"",(OFFSET($AQ$2,T123,0)+OFFSET($AU$2,T123,0))-(OFFSET($AW$2,T123,0)+OFFSET($BA$2,T123,0)))</f>
        <v/>
      </c>
      <c r="W126" s="2539"/>
      <c r="X126" s="2536" t="str">
        <f ca="1">IF(ISBLANK(OFFSET($AP$2,X123,0)),"",OFFSET($AQ$2,X123,0)+OFFSET($AU$2,X123,0))</f>
        <v/>
      </c>
      <c r="Y126" s="2537"/>
      <c r="Z126" s="2538" t="str">
        <f ca="1">IF(ISBLANK(OFFSET($AP$2,X123,0)),"",(OFFSET($AQ$2,X123,0)+OFFSET($AU$2,X123,0))-(OFFSET($AW$2,X123,0)+OFFSET($BA$2,X123,0)))</f>
        <v/>
      </c>
      <c r="AA126" s="2539"/>
      <c r="AB126" s="57"/>
    </row>
    <row r="127" spans="1:28" ht="12.95" hidden="1" customHeight="1" x14ac:dyDescent="0.2">
      <c r="A127" s="57"/>
      <c r="B127" s="2540" t="s">
        <v>437</v>
      </c>
      <c r="C127" s="2541"/>
      <c r="D127" s="2536" t="str">
        <f ca="1">IF(ISBLANK(OFFSET($AP$2,D123,0)),"",OFFSET($AR$2,D123,0))</f>
        <v/>
      </c>
      <c r="E127" s="2537"/>
      <c r="F127" s="2538" t="str">
        <f ca="1">IF(ISBLANK(OFFSET($AP$2,D123,0)),"",OFFSET($AR$2,D123,0)-OFFSET($AX$2,D123,0))</f>
        <v/>
      </c>
      <c r="G127" s="2539"/>
      <c r="H127" s="2536" t="str">
        <f ca="1">IF(ISBLANK(OFFSET($AP$2,H123,0)),"",OFFSET($AR$2,H123,0))</f>
        <v/>
      </c>
      <c r="I127" s="2537"/>
      <c r="J127" s="2538" t="str">
        <f ca="1">IF(ISBLANK(OFFSET($AP$2,H123,0)),"",OFFSET($AR$2,H123,0)-OFFSET($AX$2,H123,0))</f>
        <v/>
      </c>
      <c r="K127" s="2539"/>
      <c r="L127" s="2536" t="str">
        <f ca="1">IF(ISBLANK(OFFSET($AP$2,L123,0)),"",OFFSET($AR$2,L123,0))</f>
        <v/>
      </c>
      <c r="M127" s="2537"/>
      <c r="N127" s="2538" t="str">
        <f ca="1">IF(ISBLANK(OFFSET($AP$2,L123,0)),"",OFFSET($AR$2,L123,0)-OFFSET($AX$2,L123,0))</f>
        <v/>
      </c>
      <c r="O127" s="2539"/>
      <c r="P127" s="2536" t="str">
        <f ca="1">IF(ISBLANK(OFFSET($AP$2,P123,0)),"",OFFSET($AR$2,P123,0))</f>
        <v/>
      </c>
      <c r="Q127" s="2537"/>
      <c r="R127" s="2538" t="str">
        <f ca="1">IF(ISBLANK(OFFSET($AP$2,P123,0)),"",OFFSET($AR$2,P123,0)-OFFSET($AX$2,P123,0))</f>
        <v/>
      </c>
      <c r="S127" s="2539"/>
      <c r="T127" s="2536" t="str">
        <f ca="1">IF(ISBLANK(OFFSET($AP$2,T123,0)),"",OFFSET($AR$2,T123,0))</f>
        <v/>
      </c>
      <c r="U127" s="2537"/>
      <c r="V127" s="2538" t="str">
        <f ca="1">IF(ISBLANK(OFFSET($AP$2,T123,0)),"",OFFSET($AR$2,T123,0)-OFFSET($AX$2,T123,0))</f>
        <v/>
      </c>
      <c r="W127" s="2539"/>
      <c r="X127" s="2536" t="str">
        <f ca="1">IF(ISBLANK(OFFSET($AP$2,X123,0)),"",OFFSET($AR$2,X123,0))</f>
        <v/>
      </c>
      <c r="Y127" s="2537"/>
      <c r="Z127" s="2538" t="str">
        <f ca="1">IF(ISBLANK(OFFSET($AP$2,X123,0)),"",OFFSET($AR$2,X123,0)-OFFSET($AX$2,X123,0))</f>
        <v/>
      </c>
      <c r="AA127" s="2539"/>
      <c r="AB127" s="57"/>
    </row>
    <row r="128" spans="1:28" ht="12.95" hidden="1" customHeight="1" x14ac:dyDescent="0.2">
      <c r="A128" s="57"/>
      <c r="B128" s="2540" t="s">
        <v>438</v>
      </c>
      <c r="C128" s="2541"/>
      <c r="D128" s="2536" t="str">
        <f ca="1">IF(ISBLANK(OFFSET($AP$2,D123,0)),"",OFFSET($AS$2,D123,0))</f>
        <v/>
      </c>
      <c r="E128" s="2537"/>
      <c r="F128" s="2538" t="str">
        <f ca="1">IF(ISBLANK(OFFSET($AP$2,D123,0)),"",OFFSET($AS$2,D123,0)-OFFSET($AY$2,D123,0))</f>
        <v/>
      </c>
      <c r="G128" s="2539"/>
      <c r="H128" s="2536" t="str">
        <f ca="1">IF(ISBLANK(OFFSET($AP$2,H123,0)),"",OFFSET($AS$2,H123,0))</f>
        <v/>
      </c>
      <c r="I128" s="2537"/>
      <c r="J128" s="2538" t="str">
        <f ca="1">IF(ISBLANK(OFFSET($AP$2,H123,0)),"",OFFSET($AS$2,H123,0)-OFFSET($AY$2,H123,0))</f>
        <v/>
      </c>
      <c r="K128" s="2539"/>
      <c r="L128" s="2536" t="str">
        <f ca="1">IF(ISBLANK(OFFSET($AP$2,L123,0)),"",OFFSET($AS$2,L123,0))</f>
        <v/>
      </c>
      <c r="M128" s="2537"/>
      <c r="N128" s="2538" t="str">
        <f ca="1">IF(ISBLANK(OFFSET($AP$2,L123,0)),"",OFFSET($AS$2,L123,0)-OFFSET($AY$2,L123,0))</f>
        <v/>
      </c>
      <c r="O128" s="2539"/>
      <c r="P128" s="2536" t="str">
        <f ca="1">IF(ISBLANK(OFFSET($AP$2,P123,0)),"",OFFSET($AS$2,P123,0))</f>
        <v/>
      </c>
      <c r="Q128" s="2537"/>
      <c r="R128" s="2538" t="str">
        <f ca="1">IF(ISBLANK(OFFSET($AP$2,P123,0)),"",OFFSET($AS$2,P123,0)-OFFSET($AY$2,P123,0))</f>
        <v/>
      </c>
      <c r="S128" s="2539"/>
      <c r="T128" s="2536" t="str">
        <f ca="1">IF(ISBLANK(OFFSET($AP$2,T123,0)),"",OFFSET($AS$2,T123,0))</f>
        <v/>
      </c>
      <c r="U128" s="2537"/>
      <c r="V128" s="2538" t="str">
        <f ca="1">IF(ISBLANK(OFFSET($AP$2,T123,0)),"",OFFSET($AS$2,T123,0)-OFFSET($AY$2,T123,0))</f>
        <v/>
      </c>
      <c r="W128" s="2539"/>
      <c r="X128" s="2536" t="str">
        <f ca="1">IF(ISBLANK(OFFSET($AP$2,X123,0)),"",OFFSET($AS$2,X123,0))</f>
        <v/>
      </c>
      <c r="Y128" s="2537"/>
      <c r="Z128" s="2538" t="str">
        <f ca="1">IF(ISBLANK(OFFSET($AP$2,X123,0)),"",OFFSET($AS$2,X123,0)-OFFSET($AY$2,X123,0))</f>
        <v/>
      </c>
      <c r="AA128" s="2539"/>
      <c r="AB128" s="57"/>
    </row>
    <row r="129" spans="1:28" ht="12.95" hidden="1" customHeight="1" x14ac:dyDescent="0.2">
      <c r="A129" s="57"/>
      <c r="B129" s="2540" t="s">
        <v>75</v>
      </c>
      <c r="C129" s="2541"/>
      <c r="D129" s="2536" t="str">
        <f ca="1">IF(ISBLANK(OFFSET($AP$2,D123,0)),"",OFFSET($AT$2,D123,0))</f>
        <v/>
      </c>
      <c r="E129" s="2537"/>
      <c r="F129" s="2538" t="str">
        <f ca="1">IF(ISBLANK(OFFSET($AP$2,D123,0)),"",OFFSET($AT$2,D123,0)-OFFSET($AZ$2,D123,0))</f>
        <v/>
      </c>
      <c r="G129" s="2539"/>
      <c r="H129" s="2536" t="str">
        <f ca="1">IF(ISBLANK(OFFSET($AP$2,H123,0)),"",OFFSET($AT$2,H123,0))</f>
        <v/>
      </c>
      <c r="I129" s="2537"/>
      <c r="J129" s="2538" t="str">
        <f ca="1">IF(ISBLANK(OFFSET($AP$2,H123,0)),"",OFFSET($AT$2,H123,0)-OFFSET($AZ$2,H123,0))</f>
        <v/>
      </c>
      <c r="K129" s="2539"/>
      <c r="L129" s="2536" t="str">
        <f ca="1">IF(ISBLANK(OFFSET($AP$2,L123,0)),"",OFFSET($AT$2,L123,0))</f>
        <v/>
      </c>
      <c r="M129" s="2537"/>
      <c r="N129" s="2538" t="str">
        <f ca="1">IF(ISBLANK(OFFSET($AP$2,L123,0)),"",OFFSET($AT$2,L123,0)-OFFSET($AZ$2,L123,0))</f>
        <v/>
      </c>
      <c r="O129" s="2539"/>
      <c r="P129" s="2536" t="str">
        <f ca="1">IF(ISBLANK(OFFSET($AP$2,P123,0)),"",OFFSET($AT$2,P123,0))</f>
        <v/>
      </c>
      <c r="Q129" s="2537"/>
      <c r="R129" s="2538" t="str">
        <f ca="1">IF(ISBLANK(OFFSET($AP$2,P123,0)),"",OFFSET($AT$2,P123,0)-OFFSET($AZ$2,P123,0))</f>
        <v/>
      </c>
      <c r="S129" s="2539"/>
      <c r="T129" s="2536" t="str">
        <f ca="1">IF(ISBLANK(OFFSET($AP$2,T123,0)),"",OFFSET($AT$2,T123,0))</f>
        <v/>
      </c>
      <c r="U129" s="2537"/>
      <c r="V129" s="2538" t="str">
        <f ca="1">IF(ISBLANK(OFFSET($AP$2,T123,0)),"",OFFSET($AT$2,T123,0)-OFFSET($AZ$2,T123,0))</f>
        <v/>
      </c>
      <c r="W129" s="2539"/>
      <c r="X129" s="2536" t="str">
        <f ca="1">IF(ISBLANK(OFFSET($AP$2,X123,0)),"",OFFSET($AT$2,X123,0))</f>
        <v/>
      </c>
      <c r="Y129" s="2537"/>
      <c r="Z129" s="2538" t="str">
        <f ca="1">IF(ISBLANK(OFFSET($AP$2,X123,0)),"",OFFSET($AT$2,X123,0)-OFFSET($AZ$2,X123,0))</f>
        <v/>
      </c>
      <c r="AA129" s="2539"/>
      <c r="AB129" s="57"/>
    </row>
    <row r="130" spans="1:28" ht="12.95" hidden="1" customHeight="1" thickBot="1" x14ac:dyDescent="0.25">
      <c r="A130" s="57"/>
      <c r="B130" s="2542" t="s">
        <v>439</v>
      </c>
      <c r="C130" s="2543"/>
      <c r="D130" s="2544" t="str">
        <f ca="1">IF(ISBLANK(OFFSET($AP$2,D123,0)),"",OFFSET($AV$2,D123,0))</f>
        <v/>
      </c>
      <c r="E130" s="2545"/>
      <c r="F130" s="2546" t="str">
        <f ca="1">IF(ISBLANK(OFFSET($AP$2,D123,0)),"",OFFSET($AV$2,D123,0)-OFFSET($BB$2,D123,0))</f>
        <v/>
      </c>
      <c r="G130" s="2547"/>
      <c r="H130" s="2544" t="str">
        <f ca="1">IF(ISBLANK(OFFSET($AP$2,H123,0)),"",OFFSET($AV$2,H123,0))</f>
        <v/>
      </c>
      <c r="I130" s="2545"/>
      <c r="J130" s="2546" t="str">
        <f ca="1">IF(ISBLANK(OFFSET($AP$2,H123,0)),"",OFFSET($AV$2,H123,0)-OFFSET($BB$2,H123,0))</f>
        <v/>
      </c>
      <c r="K130" s="2547"/>
      <c r="L130" s="2544" t="str">
        <f ca="1">IF(ISBLANK(OFFSET($AP$2,L123,0)),"",OFFSET($AV$2,L123,0))</f>
        <v/>
      </c>
      <c r="M130" s="2545"/>
      <c r="N130" s="2546" t="str">
        <f ca="1">IF(ISBLANK(OFFSET($AP$2,L123,0)),"",OFFSET($AV$2,L123,0)-OFFSET($BB$2,L123,0))</f>
        <v/>
      </c>
      <c r="O130" s="2547"/>
      <c r="P130" s="2544" t="str">
        <f ca="1">IF(ISBLANK(OFFSET($AP$2,P123,0)),"",OFFSET($AV$2,P123,0))</f>
        <v/>
      </c>
      <c r="Q130" s="2545"/>
      <c r="R130" s="2546" t="str">
        <f ca="1">IF(ISBLANK(OFFSET($AP$2,P123,0)),"",OFFSET($AV$2,P123,0)-OFFSET($BB$2,P123,0))</f>
        <v/>
      </c>
      <c r="S130" s="2547"/>
      <c r="T130" s="2544" t="str">
        <f ca="1">IF(ISBLANK(OFFSET($AP$2,T123,0)),"",OFFSET($AV$2,T123,0))</f>
        <v/>
      </c>
      <c r="U130" s="2545"/>
      <c r="V130" s="2546" t="str">
        <f ca="1">IF(ISBLANK(OFFSET($AP$2,T123,0)),"",OFFSET($AV$2,T123,0)-OFFSET($BB$2,T123,0))</f>
        <v/>
      </c>
      <c r="W130" s="2547"/>
      <c r="X130" s="2544" t="str">
        <f ca="1">IF(ISBLANK(OFFSET($AP$2,X123,0)),"",OFFSET($AV$2,X123,0))</f>
        <v/>
      </c>
      <c r="Y130" s="2545"/>
      <c r="Z130" s="2546" t="str">
        <f ca="1">IF(ISBLANK(OFFSET($AP$2,X123,0)),"",OFFSET($AV$2,X123,0)-OFFSET($BB$2,X123,0))</f>
        <v/>
      </c>
      <c r="AA130" s="2547"/>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48" t="str">
        <f ca="1">IF(ISBLANK(OFFSET($AP$2,D131,0)),"",CONCATENATE("Seq. ",OFFSET($AP$2,D131,0)))</f>
        <v/>
      </c>
      <c r="E132" s="2549"/>
      <c r="F132" s="2549"/>
      <c r="G132" s="2550"/>
      <c r="H132" s="2548" t="str">
        <f ca="1">IF(ISBLANK(OFFSET($AP$2,H131,0)),"",CONCATENATE("Seq. ",OFFSET($AP$2,H131,0)))</f>
        <v/>
      </c>
      <c r="I132" s="2549"/>
      <c r="J132" s="2549"/>
      <c r="K132" s="2550"/>
      <c r="L132" s="2548" t="str">
        <f ca="1">IF(ISBLANK(OFFSET($AP$2,L131,0)),"",CONCATENATE("Seq. ",OFFSET($AP$2,L131,0)))</f>
        <v/>
      </c>
      <c r="M132" s="2549"/>
      <c r="N132" s="2549"/>
      <c r="O132" s="2550"/>
      <c r="P132" s="2548" t="str">
        <f ca="1">IF(ISBLANK(OFFSET($AP$2,P131,0)),"",CONCATENATE("Seq. ",OFFSET($AP$2,P131,0)))</f>
        <v/>
      </c>
      <c r="Q132" s="2549"/>
      <c r="R132" s="2549"/>
      <c r="S132" s="2550"/>
      <c r="T132" s="2548" t="str">
        <f ca="1">IF(ISBLANK(OFFSET($AP$2,T131,0)),"",CONCATENATE("Seq. ",OFFSET($AP$2,T131,0)))</f>
        <v/>
      </c>
      <c r="U132" s="2549"/>
      <c r="V132" s="2549"/>
      <c r="W132" s="2550"/>
      <c r="X132" s="2548" t="str">
        <f ca="1">IF(ISBLANK(OFFSET($AP$2,X131,0)),"",CONCATENATE("Seq. ",OFFSET($AP$2,X131,0)))</f>
        <v/>
      </c>
      <c r="Y132" s="2549"/>
      <c r="Z132" s="2549"/>
      <c r="AA132" s="2550"/>
      <c r="AB132" s="57"/>
    </row>
    <row r="133" spans="1:28" ht="12.95" hidden="1" customHeight="1" thickBot="1" x14ac:dyDescent="0.25">
      <c r="A133" s="57"/>
      <c r="B133" s="41"/>
      <c r="C133" s="42"/>
      <c r="D133" s="2551" t="s">
        <v>440</v>
      </c>
      <c r="E133" s="2552"/>
      <c r="F133" s="2552" t="s">
        <v>441</v>
      </c>
      <c r="G133" s="2553"/>
      <c r="H133" s="2551" t="s">
        <v>440</v>
      </c>
      <c r="I133" s="2552"/>
      <c r="J133" s="2552" t="s">
        <v>441</v>
      </c>
      <c r="K133" s="2553"/>
      <c r="L133" s="2551" t="s">
        <v>440</v>
      </c>
      <c r="M133" s="2552"/>
      <c r="N133" s="2552" t="s">
        <v>441</v>
      </c>
      <c r="O133" s="2553"/>
      <c r="P133" s="2551" t="s">
        <v>440</v>
      </c>
      <c r="Q133" s="2552"/>
      <c r="R133" s="2552" t="s">
        <v>441</v>
      </c>
      <c r="S133" s="2553"/>
      <c r="T133" s="2551" t="s">
        <v>440</v>
      </c>
      <c r="U133" s="2552"/>
      <c r="V133" s="2552" t="s">
        <v>441</v>
      </c>
      <c r="W133" s="2553"/>
      <c r="X133" s="2551" t="s">
        <v>440</v>
      </c>
      <c r="Y133" s="2552"/>
      <c r="Z133" s="2552" t="s">
        <v>441</v>
      </c>
      <c r="AA133" s="2553"/>
      <c r="AB133" s="57"/>
    </row>
    <row r="134" spans="1:28" ht="12.95" hidden="1" customHeight="1" x14ac:dyDescent="0.2">
      <c r="A134" s="57"/>
      <c r="B134" s="2554" t="s">
        <v>73</v>
      </c>
      <c r="C134" s="2555"/>
      <c r="D134" s="2536" t="str">
        <f ca="1">IF(ISBLANK(OFFSET($AP$2,D131,0)),"",OFFSET($AQ$2,D131,0)+OFFSET($AU$2,D131,0))</f>
        <v/>
      </c>
      <c r="E134" s="2537"/>
      <c r="F134" s="2538" t="str">
        <f ca="1">IF(ISBLANK(OFFSET($AP$2,D131,0)),"",(OFFSET($AQ$2,D131,0)+OFFSET($AU$2,D131,0))-(OFFSET($AW$2,D131,0)+OFFSET($BA$2,D131,0)))</f>
        <v/>
      </c>
      <c r="G134" s="2539"/>
      <c r="H134" s="2536" t="str">
        <f ca="1">IF(ISBLANK(OFFSET($AP$2,H131,0)),"",OFFSET($AQ$2,H131,0)+OFFSET($AU$2,H131,0))</f>
        <v/>
      </c>
      <c r="I134" s="2537"/>
      <c r="J134" s="2538" t="str">
        <f ca="1">IF(ISBLANK(OFFSET($AP$2,H131,0)),"",(OFFSET($AQ$2,H131,0)+OFFSET($AU$2,H131,0))-(OFFSET($AW$2,H131,0)+OFFSET($BA$2,H131,0)))</f>
        <v/>
      </c>
      <c r="K134" s="2539"/>
      <c r="L134" s="2536" t="str">
        <f ca="1">IF(ISBLANK(OFFSET($AP$2,L131,0)),"",OFFSET($AQ$2,L131,0)+OFFSET($AU$2,L131,0))</f>
        <v/>
      </c>
      <c r="M134" s="2537"/>
      <c r="N134" s="2538" t="str">
        <f ca="1">IF(ISBLANK(OFFSET($AP$2,L131,0)),"",(OFFSET($AQ$2,L131,0)+OFFSET($AU$2,L131,0))-(OFFSET($AW$2,L131,0)+OFFSET($BA$2,L131,0)))</f>
        <v/>
      </c>
      <c r="O134" s="2539"/>
      <c r="P134" s="2536" t="str">
        <f ca="1">IF(ISBLANK(OFFSET($AP$2,P131,0)),"",OFFSET($AQ$2,P131,0)+OFFSET($AU$2,P131,0))</f>
        <v/>
      </c>
      <c r="Q134" s="2537"/>
      <c r="R134" s="2538" t="str">
        <f ca="1">IF(ISBLANK(OFFSET($AP$2,P131,0)),"",(OFFSET($AQ$2,P131,0)+OFFSET($AU$2,P131,0))-(OFFSET($AW$2,P131,0)+OFFSET($BA$2,P131,0)))</f>
        <v/>
      </c>
      <c r="S134" s="2539"/>
      <c r="T134" s="2536" t="str">
        <f ca="1">IF(ISBLANK(OFFSET($AP$2,T131,0)),"",OFFSET($AQ$2,T131,0)+OFFSET($AU$2,T131,0))</f>
        <v/>
      </c>
      <c r="U134" s="2537"/>
      <c r="V134" s="2538" t="str">
        <f ca="1">IF(ISBLANK(OFFSET($AP$2,T131,0)),"",(OFFSET($AQ$2,T131,0)+OFFSET($AU$2,T131,0))-(OFFSET($AW$2,T131,0)+OFFSET($BA$2,T131,0)))</f>
        <v/>
      </c>
      <c r="W134" s="2539"/>
      <c r="X134" s="2536" t="str">
        <f ca="1">IF(ISBLANK(OFFSET($AP$2,X131,0)),"",OFFSET($AQ$2,X131,0)+OFFSET($AU$2,X131,0))</f>
        <v/>
      </c>
      <c r="Y134" s="2537"/>
      <c r="Z134" s="2538" t="str">
        <f ca="1">IF(ISBLANK(OFFSET($AP$2,X131,0)),"",(OFFSET($AQ$2,X131,0)+OFFSET($AU$2,X131,0))-(OFFSET($AW$2,X131,0)+OFFSET($BA$2,X131,0)))</f>
        <v/>
      </c>
      <c r="AA134" s="2539"/>
      <c r="AB134" s="57"/>
    </row>
    <row r="135" spans="1:28" ht="12.95" hidden="1" customHeight="1" x14ac:dyDescent="0.2">
      <c r="A135" s="57"/>
      <c r="B135" s="2540" t="s">
        <v>437</v>
      </c>
      <c r="C135" s="2541"/>
      <c r="D135" s="2536" t="str">
        <f ca="1">IF(ISBLANK(OFFSET($AP$2,D131,0)),"",OFFSET($AR$2,D131,0))</f>
        <v/>
      </c>
      <c r="E135" s="2537"/>
      <c r="F135" s="2538" t="str">
        <f ca="1">IF(ISBLANK(OFFSET($AP$2,D131,0)),"",OFFSET($AR$2,D131,0)-OFFSET($AX$2,D131,0))</f>
        <v/>
      </c>
      <c r="G135" s="2539"/>
      <c r="H135" s="2536" t="str">
        <f ca="1">IF(ISBLANK(OFFSET($AP$2,H131,0)),"",OFFSET($AR$2,H131,0))</f>
        <v/>
      </c>
      <c r="I135" s="2537"/>
      <c r="J135" s="2538" t="str">
        <f ca="1">IF(ISBLANK(OFFSET($AP$2,H131,0)),"",OFFSET($AR$2,H131,0)-OFFSET($AX$2,H131,0))</f>
        <v/>
      </c>
      <c r="K135" s="2539"/>
      <c r="L135" s="2536" t="str">
        <f ca="1">IF(ISBLANK(OFFSET($AP$2,L131,0)),"",OFFSET($AR$2,L131,0))</f>
        <v/>
      </c>
      <c r="M135" s="2537"/>
      <c r="N135" s="2538" t="str">
        <f ca="1">IF(ISBLANK(OFFSET($AP$2,L131,0)),"",OFFSET($AR$2,L131,0)-OFFSET($AX$2,L131,0))</f>
        <v/>
      </c>
      <c r="O135" s="2539"/>
      <c r="P135" s="2536" t="str">
        <f ca="1">IF(ISBLANK(OFFSET($AP$2,P131,0)),"",OFFSET($AR$2,P131,0))</f>
        <v/>
      </c>
      <c r="Q135" s="2537"/>
      <c r="R135" s="2538" t="str">
        <f ca="1">IF(ISBLANK(OFFSET($AP$2,P131,0)),"",OFFSET($AR$2,P131,0)-OFFSET($AX$2,P131,0))</f>
        <v/>
      </c>
      <c r="S135" s="2539"/>
      <c r="T135" s="2536" t="str">
        <f ca="1">IF(ISBLANK(OFFSET($AP$2,T131,0)),"",OFFSET($AR$2,T131,0))</f>
        <v/>
      </c>
      <c r="U135" s="2537"/>
      <c r="V135" s="2538" t="str">
        <f ca="1">IF(ISBLANK(OFFSET($AP$2,T131,0)),"",OFFSET($AR$2,T131,0)-OFFSET($AX$2,T131,0))</f>
        <v/>
      </c>
      <c r="W135" s="2539"/>
      <c r="X135" s="2536" t="str">
        <f ca="1">IF(ISBLANK(OFFSET($AP$2,X131,0)),"",OFFSET($AR$2,X131,0))</f>
        <v/>
      </c>
      <c r="Y135" s="2537"/>
      <c r="Z135" s="2538" t="str">
        <f ca="1">IF(ISBLANK(OFFSET($AP$2,X131,0)),"",OFFSET($AR$2,X131,0)-OFFSET($AX$2,X131,0))</f>
        <v/>
      </c>
      <c r="AA135" s="2539"/>
      <c r="AB135" s="57"/>
    </row>
    <row r="136" spans="1:28" ht="12.95" hidden="1" customHeight="1" x14ac:dyDescent="0.2">
      <c r="A136" s="57"/>
      <c r="B136" s="2540" t="s">
        <v>438</v>
      </c>
      <c r="C136" s="2541"/>
      <c r="D136" s="2536" t="str">
        <f ca="1">IF(ISBLANK(OFFSET($AP$2,D131,0)),"",OFFSET($AS$2,D131,0))</f>
        <v/>
      </c>
      <c r="E136" s="2537"/>
      <c r="F136" s="2538" t="str">
        <f ca="1">IF(ISBLANK(OFFSET($AP$2,D131,0)),"",OFFSET($AS$2,D131,0)-OFFSET($AY$2,D131,0))</f>
        <v/>
      </c>
      <c r="G136" s="2539"/>
      <c r="H136" s="2536" t="str">
        <f ca="1">IF(ISBLANK(OFFSET($AP$2,H131,0)),"",OFFSET($AS$2,H131,0))</f>
        <v/>
      </c>
      <c r="I136" s="2537"/>
      <c r="J136" s="2538" t="str">
        <f ca="1">IF(ISBLANK(OFFSET($AP$2,H131,0)),"",OFFSET($AS$2,H131,0)-OFFSET($AY$2,H131,0))</f>
        <v/>
      </c>
      <c r="K136" s="2539"/>
      <c r="L136" s="2536" t="str">
        <f ca="1">IF(ISBLANK(OFFSET($AP$2,L131,0)),"",OFFSET($AS$2,L131,0))</f>
        <v/>
      </c>
      <c r="M136" s="2537"/>
      <c r="N136" s="2538" t="str">
        <f ca="1">IF(ISBLANK(OFFSET($AP$2,L131,0)),"",OFFSET($AS$2,L131,0)-OFFSET($AY$2,L131,0))</f>
        <v/>
      </c>
      <c r="O136" s="2539"/>
      <c r="P136" s="2536" t="str">
        <f ca="1">IF(ISBLANK(OFFSET($AP$2,P131,0)),"",OFFSET($AS$2,P131,0))</f>
        <v/>
      </c>
      <c r="Q136" s="2537"/>
      <c r="R136" s="2538" t="str">
        <f ca="1">IF(ISBLANK(OFFSET($AP$2,P131,0)),"",OFFSET($AS$2,P131,0)-OFFSET($AY$2,P131,0))</f>
        <v/>
      </c>
      <c r="S136" s="2539"/>
      <c r="T136" s="2536" t="str">
        <f ca="1">IF(ISBLANK(OFFSET($AP$2,T131,0)),"",OFFSET($AS$2,T131,0))</f>
        <v/>
      </c>
      <c r="U136" s="2537"/>
      <c r="V136" s="2538" t="str">
        <f ca="1">IF(ISBLANK(OFFSET($AP$2,T131,0)),"",OFFSET($AS$2,T131,0)-OFFSET($AY$2,T131,0))</f>
        <v/>
      </c>
      <c r="W136" s="2539"/>
      <c r="X136" s="2536" t="str">
        <f ca="1">IF(ISBLANK(OFFSET($AP$2,X131,0)),"",OFFSET($AS$2,X131,0))</f>
        <v/>
      </c>
      <c r="Y136" s="2537"/>
      <c r="Z136" s="2538" t="str">
        <f ca="1">IF(ISBLANK(OFFSET($AP$2,X131,0)),"",OFFSET($AS$2,X131,0)-OFFSET($AY$2,X131,0))</f>
        <v/>
      </c>
      <c r="AA136" s="2539"/>
      <c r="AB136" s="57"/>
    </row>
    <row r="137" spans="1:28" ht="12.95" hidden="1" customHeight="1" x14ac:dyDescent="0.2">
      <c r="A137" s="57"/>
      <c r="B137" s="2540" t="s">
        <v>75</v>
      </c>
      <c r="C137" s="2541"/>
      <c r="D137" s="2536" t="str">
        <f ca="1">IF(ISBLANK(OFFSET($AP$2,D131,0)),"",OFFSET($AT$2,D131,0))</f>
        <v/>
      </c>
      <c r="E137" s="2537"/>
      <c r="F137" s="2538" t="str">
        <f ca="1">IF(ISBLANK(OFFSET($AP$2,D131,0)),"",OFFSET($AT$2,D131,0)-OFFSET($AZ$2,D131,0))</f>
        <v/>
      </c>
      <c r="G137" s="2539"/>
      <c r="H137" s="2536" t="str">
        <f ca="1">IF(ISBLANK(OFFSET($AP$2,H131,0)),"",OFFSET($AT$2,H131,0))</f>
        <v/>
      </c>
      <c r="I137" s="2537"/>
      <c r="J137" s="2538" t="str">
        <f ca="1">IF(ISBLANK(OFFSET($AP$2,H131,0)),"",OFFSET($AT$2,H131,0)-OFFSET($AZ$2,H131,0))</f>
        <v/>
      </c>
      <c r="K137" s="2539"/>
      <c r="L137" s="2536" t="str">
        <f ca="1">IF(ISBLANK(OFFSET($AP$2,L131,0)),"",OFFSET($AT$2,L131,0))</f>
        <v/>
      </c>
      <c r="M137" s="2537"/>
      <c r="N137" s="2538" t="str">
        <f ca="1">IF(ISBLANK(OFFSET($AP$2,L131,0)),"",OFFSET($AT$2,L131,0)-OFFSET($AZ$2,L131,0))</f>
        <v/>
      </c>
      <c r="O137" s="2539"/>
      <c r="P137" s="2536" t="str">
        <f ca="1">IF(ISBLANK(OFFSET($AP$2,P131,0)),"",OFFSET($AT$2,P131,0))</f>
        <v/>
      </c>
      <c r="Q137" s="2537"/>
      <c r="R137" s="2538" t="str">
        <f ca="1">IF(ISBLANK(OFFSET($AP$2,P131,0)),"",OFFSET($AT$2,P131,0)-OFFSET($AZ$2,P131,0))</f>
        <v/>
      </c>
      <c r="S137" s="2539"/>
      <c r="T137" s="2536" t="str">
        <f ca="1">IF(ISBLANK(OFFSET($AP$2,T131,0)),"",OFFSET($AT$2,T131,0))</f>
        <v/>
      </c>
      <c r="U137" s="2537"/>
      <c r="V137" s="2538" t="str">
        <f ca="1">IF(ISBLANK(OFFSET($AP$2,T131,0)),"",OFFSET($AT$2,T131,0)-OFFSET($AZ$2,T131,0))</f>
        <v/>
      </c>
      <c r="W137" s="2539"/>
      <c r="X137" s="2536" t="str">
        <f ca="1">IF(ISBLANK(OFFSET($AP$2,X131,0)),"",OFFSET($AT$2,X131,0))</f>
        <v/>
      </c>
      <c r="Y137" s="2537"/>
      <c r="Z137" s="2538" t="str">
        <f ca="1">IF(ISBLANK(OFFSET($AP$2,X131,0)),"",OFFSET($AT$2,X131,0)-OFFSET($AZ$2,X131,0))</f>
        <v/>
      </c>
      <c r="AA137" s="2539"/>
      <c r="AB137" s="57"/>
    </row>
    <row r="138" spans="1:28" ht="12.95" hidden="1" customHeight="1" thickBot="1" x14ac:dyDescent="0.25">
      <c r="A138" s="57"/>
      <c r="B138" s="2542" t="s">
        <v>439</v>
      </c>
      <c r="C138" s="2543"/>
      <c r="D138" s="2544" t="str">
        <f ca="1">IF(ISBLANK(OFFSET($AP$2,D131,0)),"",OFFSET($AV$2,D131,0))</f>
        <v/>
      </c>
      <c r="E138" s="2545"/>
      <c r="F138" s="2546" t="str">
        <f ca="1">IF(ISBLANK(OFFSET($AP$2,D131,0)),"",OFFSET($AV$2,D131,0)-OFFSET($BB$2,D131,0))</f>
        <v/>
      </c>
      <c r="G138" s="2547"/>
      <c r="H138" s="2544" t="str">
        <f ca="1">IF(ISBLANK(OFFSET($AP$2,H131,0)),"",OFFSET($AV$2,H131,0))</f>
        <v/>
      </c>
      <c r="I138" s="2545"/>
      <c r="J138" s="2546" t="str">
        <f ca="1">IF(ISBLANK(OFFSET($AP$2,H131,0)),"",OFFSET($AV$2,H131,0)-OFFSET($BB$2,H131,0))</f>
        <v/>
      </c>
      <c r="K138" s="2547"/>
      <c r="L138" s="2544" t="str">
        <f ca="1">IF(ISBLANK(OFFSET($AP$2,L131,0)),"",OFFSET($AV$2,L131,0))</f>
        <v/>
      </c>
      <c r="M138" s="2545"/>
      <c r="N138" s="2546" t="str">
        <f ca="1">IF(ISBLANK(OFFSET($AP$2,L131,0)),"",OFFSET($AV$2,L131,0)-OFFSET($BB$2,L131,0))</f>
        <v/>
      </c>
      <c r="O138" s="2547"/>
      <c r="P138" s="2544" t="str">
        <f ca="1">IF(ISBLANK(OFFSET($AP$2,P131,0)),"",OFFSET($AV$2,P131,0))</f>
        <v/>
      </c>
      <c r="Q138" s="2545"/>
      <c r="R138" s="2546" t="str">
        <f ca="1">IF(ISBLANK(OFFSET($AP$2,P131,0)),"",OFFSET($AV$2,P131,0)-OFFSET($BB$2,P131,0))</f>
        <v/>
      </c>
      <c r="S138" s="2547"/>
      <c r="T138" s="2544" t="str">
        <f ca="1">IF(ISBLANK(OFFSET($AP$2,T131,0)),"",OFFSET($AV$2,T131,0))</f>
        <v/>
      </c>
      <c r="U138" s="2545"/>
      <c r="V138" s="2546" t="str">
        <f ca="1">IF(ISBLANK(OFFSET($AP$2,T131,0)),"",OFFSET($AV$2,T131,0)-OFFSET($BB$2,T131,0))</f>
        <v/>
      </c>
      <c r="W138" s="2547"/>
      <c r="X138" s="2544" t="str">
        <f ca="1">IF(ISBLANK(OFFSET($AP$2,X131,0)),"",OFFSET($AV$2,X131,0))</f>
        <v/>
      </c>
      <c r="Y138" s="2545"/>
      <c r="Z138" s="2546" t="str">
        <f ca="1">IF(ISBLANK(OFFSET($AP$2,X131,0)),"",OFFSET($AV$2,X131,0)-OFFSET($BB$2,X131,0))</f>
        <v/>
      </c>
      <c r="AA138" s="2547"/>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48" t="str">
        <f ca="1">IF(ISBLANK(OFFSET($AP$2,D139,0)),"",CONCATENATE("Seq. ",OFFSET($AP$2,D139,0)))</f>
        <v/>
      </c>
      <c r="E140" s="2549"/>
      <c r="F140" s="2549"/>
      <c r="G140" s="2550"/>
      <c r="H140" s="2548" t="str">
        <f ca="1">IF(ISBLANK(OFFSET($AP$2,H139,0)),"",CONCATENATE("Seq. ",OFFSET($AP$2,H139,0)))</f>
        <v/>
      </c>
      <c r="I140" s="2549"/>
      <c r="J140" s="2549"/>
      <c r="K140" s="2550"/>
      <c r="L140" s="2548" t="str">
        <f ca="1">IF(ISBLANK(OFFSET($AP$2,L139,0)),"",CONCATENATE("Seq. ",OFFSET($AP$2,L139,0)))</f>
        <v/>
      </c>
      <c r="M140" s="2549"/>
      <c r="N140" s="2549"/>
      <c r="O140" s="2550"/>
      <c r="P140" s="2548" t="str">
        <f ca="1">IF(ISBLANK(OFFSET($AP$2,P139,0)),"",CONCATENATE("Seq. ",OFFSET($AP$2,P139,0)))</f>
        <v/>
      </c>
      <c r="Q140" s="2549"/>
      <c r="R140" s="2549"/>
      <c r="S140" s="2550"/>
      <c r="T140" s="2548" t="str">
        <f ca="1">IF(ISBLANK(OFFSET($AP$2,T139,0)),"",CONCATENATE("Seq. ",OFFSET($AP$2,T139,0)))</f>
        <v/>
      </c>
      <c r="U140" s="2549"/>
      <c r="V140" s="2549"/>
      <c r="W140" s="2550"/>
      <c r="X140" s="2548" t="str">
        <f ca="1">IF(ISBLANK(OFFSET($AP$2,X139,0)),"",CONCATENATE("Seq. ",OFFSET($AP$2,X139,0)))</f>
        <v/>
      </c>
      <c r="Y140" s="2549"/>
      <c r="Z140" s="2549"/>
      <c r="AA140" s="2550"/>
      <c r="AB140" s="57"/>
    </row>
    <row r="141" spans="1:28" ht="12.95" hidden="1" customHeight="1" thickBot="1" x14ac:dyDescent="0.25">
      <c r="A141" s="57"/>
      <c r="B141" s="41"/>
      <c r="C141" s="42"/>
      <c r="D141" s="2551" t="s">
        <v>440</v>
      </c>
      <c r="E141" s="2552"/>
      <c r="F141" s="2552" t="s">
        <v>441</v>
      </c>
      <c r="G141" s="2553"/>
      <c r="H141" s="2551" t="s">
        <v>440</v>
      </c>
      <c r="I141" s="2552"/>
      <c r="J141" s="2552" t="s">
        <v>441</v>
      </c>
      <c r="K141" s="2553"/>
      <c r="L141" s="2551" t="s">
        <v>440</v>
      </c>
      <c r="M141" s="2552"/>
      <c r="N141" s="2552" t="s">
        <v>441</v>
      </c>
      <c r="O141" s="2553"/>
      <c r="P141" s="2551" t="s">
        <v>440</v>
      </c>
      <c r="Q141" s="2552"/>
      <c r="R141" s="2552" t="s">
        <v>441</v>
      </c>
      <c r="S141" s="2553"/>
      <c r="T141" s="2551" t="s">
        <v>440</v>
      </c>
      <c r="U141" s="2552"/>
      <c r="V141" s="2552" t="s">
        <v>441</v>
      </c>
      <c r="W141" s="2553"/>
      <c r="X141" s="2551" t="s">
        <v>440</v>
      </c>
      <c r="Y141" s="2552"/>
      <c r="Z141" s="2552" t="s">
        <v>441</v>
      </c>
      <c r="AA141" s="2553"/>
      <c r="AB141" s="57"/>
    </row>
    <row r="142" spans="1:28" ht="12.95" hidden="1" customHeight="1" x14ac:dyDescent="0.2">
      <c r="A142" s="57"/>
      <c r="B142" s="2554" t="s">
        <v>73</v>
      </c>
      <c r="C142" s="2555"/>
      <c r="D142" s="2536" t="str">
        <f ca="1">IF(ISBLANK(OFFSET($AP$2,D139,0)),"",OFFSET($AQ$2,D139,0)+OFFSET($AU$2,D139,0))</f>
        <v/>
      </c>
      <c r="E142" s="2537"/>
      <c r="F142" s="2538" t="str">
        <f ca="1">IF(ISBLANK(OFFSET($AP$2,D139,0)),"",(OFFSET($AQ$2,D139,0)+OFFSET($AU$2,D139,0))-(OFFSET($AW$2,D139,0)+OFFSET($BA$2,D139,0)))</f>
        <v/>
      </c>
      <c r="G142" s="2539"/>
      <c r="H142" s="2536" t="str">
        <f ca="1">IF(ISBLANK(OFFSET($AP$2,H139,0)),"",OFFSET($AQ$2,H139,0)+OFFSET($AU$2,H139,0))</f>
        <v/>
      </c>
      <c r="I142" s="2537"/>
      <c r="J142" s="2538" t="str">
        <f ca="1">IF(ISBLANK(OFFSET($AP$2,H139,0)),"",(OFFSET($AQ$2,H139,0)+OFFSET($AU$2,H139,0))-(OFFSET($AW$2,H139,0)+OFFSET($BA$2,H139,0)))</f>
        <v/>
      </c>
      <c r="K142" s="2539"/>
      <c r="L142" s="2536" t="str">
        <f ca="1">IF(ISBLANK(OFFSET($AP$2,L139,0)),"",OFFSET($AQ$2,L139,0)+OFFSET($AU$2,L139,0))</f>
        <v/>
      </c>
      <c r="M142" s="2537"/>
      <c r="N142" s="2538" t="str">
        <f ca="1">IF(ISBLANK(OFFSET($AP$2,L139,0)),"",(OFFSET($AQ$2,L139,0)+OFFSET($AU$2,L139,0))-(OFFSET($AW$2,L139,0)+OFFSET($BA$2,L139,0)))</f>
        <v/>
      </c>
      <c r="O142" s="2539"/>
      <c r="P142" s="2536" t="str">
        <f ca="1">IF(ISBLANK(OFFSET($AP$2,P139,0)),"",OFFSET($AQ$2,P139,0)+OFFSET($AU$2,P139,0))</f>
        <v/>
      </c>
      <c r="Q142" s="2537"/>
      <c r="R142" s="2538" t="str">
        <f ca="1">IF(ISBLANK(OFFSET($AP$2,P139,0)),"",(OFFSET($AQ$2,P139,0)+OFFSET($AU$2,P139,0))-(OFFSET($AW$2,P139,0)+OFFSET($BA$2,P139,0)))</f>
        <v/>
      </c>
      <c r="S142" s="2539"/>
      <c r="T142" s="2536" t="str">
        <f ca="1">IF(ISBLANK(OFFSET($AP$2,T139,0)),"",OFFSET($AQ$2,T139,0)+OFFSET($AU$2,T139,0))</f>
        <v/>
      </c>
      <c r="U142" s="2537"/>
      <c r="V142" s="2538" t="str">
        <f ca="1">IF(ISBLANK(OFFSET($AP$2,T139,0)),"",(OFFSET($AQ$2,T139,0)+OFFSET($AU$2,T139,0))-(OFFSET($AW$2,T139,0)+OFFSET($BA$2,T139,0)))</f>
        <v/>
      </c>
      <c r="W142" s="2539"/>
      <c r="X142" s="2536" t="str">
        <f ca="1">IF(ISBLANK(OFFSET($AP$2,X139,0)),"",OFFSET($AQ$2,X139,0)+OFFSET($AU$2,X139,0))</f>
        <v/>
      </c>
      <c r="Y142" s="2537"/>
      <c r="Z142" s="2538" t="str">
        <f ca="1">IF(ISBLANK(OFFSET($AP$2,X139,0)),"",(OFFSET($AQ$2,X139,0)+OFFSET($AU$2,X139,0))-(OFFSET($AW$2,X139,0)+OFFSET($BA$2,X139,0)))</f>
        <v/>
      </c>
      <c r="AA142" s="2539"/>
      <c r="AB142" s="57"/>
    </row>
    <row r="143" spans="1:28" ht="12.95" hidden="1" customHeight="1" x14ac:dyDescent="0.2">
      <c r="A143" s="57"/>
      <c r="B143" s="2540" t="s">
        <v>437</v>
      </c>
      <c r="C143" s="2541"/>
      <c r="D143" s="2536" t="str">
        <f ca="1">IF(ISBLANK(OFFSET($AP$2,D139,0)),"",OFFSET($AR$2,D139,0))</f>
        <v/>
      </c>
      <c r="E143" s="2537"/>
      <c r="F143" s="2538" t="str">
        <f ca="1">IF(ISBLANK(OFFSET($AP$2,D139,0)),"",OFFSET($AR$2,D139,0)-OFFSET($AX$2,D139,0))</f>
        <v/>
      </c>
      <c r="G143" s="2539"/>
      <c r="H143" s="2536" t="str">
        <f ca="1">IF(ISBLANK(OFFSET($AP$2,H139,0)),"",OFFSET($AR$2,H139,0))</f>
        <v/>
      </c>
      <c r="I143" s="2537"/>
      <c r="J143" s="2538" t="str">
        <f ca="1">IF(ISBLANK(OFFSET($AP$2,H139,0)),"",OFFSET($AR$2,H139,0)-OFFSET($AX$2,H139,0))</f>
        <v/>
      </c>
      <c r="K143" s="2539"/>
      <c r="L143" s="2536" t="str">
        <f ca="1">IF(ISBLANK(OFFSET($AP$2,L139,0)),"",OFFSET($AR$2,L139,0))</f>
        <v/>
      </c>
      <c r="M143" s="2537"/>
      <c r="N143" s="2538" t="str">
        <f ca="1">IF(ISBLANK(OFFSET($AP$2,L139,0)),"",OFFSET($AR$2,L139,0)-OFFSET($AX$2,L139,0))</f>
        <v/>
      </c>
      <c r="O143" s="2539"/>
      <c r="P143" s="2536" t="str">
        <f ca="1">IF(ISBLANK(OFFSET($AP$2,P139,0)),"",OFFSET($AR$2,P139,0))</f>
        <v/>
      </c>
      <c r="Q143" s="2537"/>
      <c r="R143" s="2538" t="str">
        <f ca="1">IF(ISBLANK(OFFSET($AP$2,P139,0)),"",OFFSET($AR$2,P139,0)-OFFSET($AX$2,P139,0))</f>
        <v/>
      </c>
      <c r="S143" s="2539"/>
      <c r="T143" s="2536" t="str">
        <f ca="1">IF(ISBLANK(OFFSET($AP$2,T139,0)),"",OFFSET($AR$2,T139,0))</f>
        <v/>
      </c>
      <c r="U143" s="2537"/>
      <c r="V143" s="2538" t="str">
        <f ca="1">IF(ISBLANK(OFFSET($AP$2,T139,0)),"",OFFSET($AR$2,T139,0)-OFFSET($AX$2,T139,0))</f>
        <v/>
      </c>
      <c r="W143" s="2539"/>
      <c r="X143" s="2536" t="str">
        <f ca="1">IF(ISBLANK(OFFSET($AP$2,X139,0)),"",OFFSET($AR$2,X139,0))</f>
        <v/>
      </c>
      <c r="Y143" s="2537"/>
      <c r="Z143" s="2538" t="str">
        <f ca="1">IF(ISBLANK(OFFSET($AP$2,X139,0)),"",OFFSET($AR$2,X139,0)-OFFSET($AX$2,X139,0))</f>
        <v/>
      </c>
      <c r="AA143" s="2539"/>
      <c r="AB143" s="57"/>
    </row>
    <row r="144" spans="1:28" ht="12.95" hidden="1" customHeight="1" x14ac:dyDescent="0.2">
      <c r="A144" s="57"/>
      <c r="B144" s="2540" t="s">
        <v>438</v>
      </c>
      <c r="C144" s="2541"/>
      <c r="D144" s="2536" t="str">
        <f ca="1">IF(ISBLANK(OFFSET($AP$2,D139,0)),"",OFFSET($AS$2,D139,0))</f>
        <v/>
      </c>
      <c r="E144" s="2537"/>
      <c r="F144" s="2538" t="str">
        <f ca="1">IF(ISBLANK(OFFSET($AP$2,D139,0)),"",OFFSET($AS$2,D139,0)-OFFSET($AY$2,D139,0))</f>
        <v/>
      </c>
      <c r="G144" s="2539"/>
      <c r="H144" s="2536" t="str">
        <f ca="1">IF(ISBLANK(OFFSET($AP$2,H139,0)),"",OFFSET($AS$2,H139,0))</f>
        <v/>
      </c>
      <c r="I144" s="2537"/>
      <c r="J144" s="2538" t="str">
        <f ca="1">IF(ISBLANK(OFFSET($AP$2,H139,0)),"",OFFSET($AS$2,H139,0)-OFFSET($AY$2,H139,0))</f>
        <v/>
      </c>
      <c r="K144" s="2539"/>
      <c r="L144" s="2536" t="str">
        <f ca="1">IF(ISBLANK(OFFSET($AP$2,L139,0)),"",OFFSET($AS$2,L139,0))</f>
        <v/>
      </c>
      <c r="M144" s="2537"/>
      <c r="N144" s="2538" t="str">
        <f ca="1">IF(ISBLANK(OFFSET($AP$2,L139,0)),"",OFFSET($AS$2,L139,0)-OFFSET($AY$2,L139,0))</f>
        <v/>
      </c>
      <c r="O144" s="2539"/>
      <c r="P144" s="2536" t="str">
        <f ca="1">IF(ISBLANK(OFFSET($AP$2,P139,0)),"",OFFSET($AS$2,P139,0))</f>
        <v/>
      </c>
      <c r="Q144" s="2537"/>
      <c r="R144" s="2538" t="str">
        <f ca="1">IF(ISBLANK(OFFSET($AP$2,P139,0)),"",OFFSET($AS$2,P139,0)-OFFSET($AY$2,P139,0))</f>
        <v/>
      </c>
      <c r="S144" s="2539"/>
      <c r="T144" s="2536" t="str">
        <f ca="1">IF(ISBLANK(OFFSET($AP$2,T139,0)),"",OFFSET($AS$2,T139,0))</f>
        <v/>
      </c>
      <c r="U144" s="2537"/>
      <c r="V144" s="2538" t="str">
        <f ca="1">IF(ISBLANK(OFFSET($AP$2,T139,0)),"",OFFSET($AS$2,T139,0)-OFFSET($AY$2,T139,0))</f>
        <v/>
      </c>
      <c r="W144" s="2539"/>
      <c r="X144" s="2536" t="str">
        <f ca="1">IF(ISBLANK(OFFSET($AP$2,X139,0)),"",OFFSET($AS$2,X139,0))</f>
        <v/>
      </c>
      <c r="Y144" s="2537"/>
      <c r="Z144" s="2538" t="str">
        <f ca="1">IF(ISBLANK(OFFSET($AP$2,X139,0)),"",OFFSET($AS$2,X139,0)-OFFSET($AY$2,X139,0))</f>
        <v/>
      </c>
      <c r="AA144" s="2539"/>
      <c r="AB144" s="57"/>
    </row>
    <row r="145" spans="1:28" ht="12.95" hidden="1" customHeight="1" x14ac:dyDescent="0.2">
      <c r="A145" s="57"/>
      <c r="B145" s="2540" t="s">
        <v>75</v>
      </c>
      <c r="C145" s="2541"/>
      <c r="D145" s="2536" t="str">
        <f ca="1">IF(ISBLANK(OFFSET($AP$2,D139,0)),"",OFFSET($AT$2,D139,0))</f>
        <v/>
      </c>
      <c r="E145" s="2537"/>
      <c r="F145" s="2538" t="str">
        <f ca="1">IF(ISBLANK(OFFSET($AP$2,D139,0)),"",OFFSET($AT$2,D139,0)-OFFSET($AZ$2,D139,0))</f>
        <v/>
      </c>
      <c r="G145" s="2539"/>
      <c r="H145" s="2536" t="str">
        <f ca="1">IF(ISBLANK(OFFSET($AP$2,H139,0)),"",OFFSET($AT$2,H139,0))</f>
        <v/>
      </c>
      <c r="I145" s="2537"/>
      <c r="J145" s="2538" t="str">
        <f ca="1">IF(ISBLANK(OFFSET($AP$2,H139,0)),"",OFFSET($AT$2,H139,0)-OFFSET($AZ$2,H139,0))</f>
        <v/>
      </c>
      <c r="K145" s="2539"/>
      <c r="L145" s="2536" t="str">
        <f ca="1">IF(ISBLANK(OFFSET($AP$2,L139,0)),"",OFFSET($AT$2,L139,0))</f>
        <v/>
      </c>
      <c r="M145" s="2537"/>
      <c r="N145" s="2538" t="str">
        <f ca="1">IF(ISBLANK(OFFSET($AP$2,L139,0)),"",OFFSET($AT$2,L139,0)-OFFSET($AZ$2,L139,0))</f>
        <v/>
      </c>
      <c r="O145" s="2539"/>
      <c r="P145" s="2536" t="str">
        <f ca="1">IF(ISBLANK(OFFSET($AP$2,P139,0)),"",OFFSET($AT$2,P139,0))</f>
        <v/>
      </c>
      <c r="Q145" s="2537"/>
      <c r="R145" s="2538" t="str">
        <f ca="1">IF(ISBLANK(OFFSET($AP$2,P139,0)),"",OFFSET($AT$2,P139,0)-OFFSET($AZ$2,P139,0))</f>
        <v/>
      </c>
      <c r="S145" s="2539"/>
      <c r="T145" s="2536" t="str">
        <f ca="1">IF(ISBLANK(OFFSET($AP$2,T139,0)),"",OFFSET($AT$2,T139,0))</f>
        <v/>
      </c>
      <c r="U145" s="2537"/>
      <c r="V145" s="2538" t="str">
        <f ca="1">IF(ISBLANK(OFFSET($AP$2,T139,0)),"",OFFSET($AT$2,T139,0)-OFFSET($AZ$2,T139,0))</f>
        <v/>
      </c>
      <c r="W145" s="2539"/>
      <c r="X145" s="2536" t="str">
        <f ca="1">IF(ISBLANK(OFFSET($AP$2,X139,0)),"",OFFSET($AT$2,X139,0))</f>
        <v/>
      </c>
      <c r="Y145" s="2537"/>
      <c r="Z145" s="2538" t="str">
        <f ca="1">IF(ISBLANK(OFFSET($AP$2,X139,0)),"",OFFSET($AT$2,X139,0)-OFFSET($AZ$2,X139,0))</f>
        <v/>
      </c>
      <c r="AA145" s="2539"/>
      <c r="AB145" s="57"/>
    </row>
    <row r="146" spans="1:28" ht="12.95" hidden="1" customHeight="1" thickBot="1" x14ac:dyDescent="0.25">
      <c r="A146" s="57"/>
      <c r="B146" s="2542" t="s">
        <v>439</v>
      </c>
      <c r="C146" s="2543"/>
      <c r="D146" s="2544" t="str">
        <f ca="1">IF(ISBLANK(OFFSET($AP$2,D139,0)),"",OFFSET($AV$2,D139,0))</f>
        <v/>
      </c>
      <c r="E146" s="2545"/>
      <c r="F146" s="2546" t="str">
        <f ca="1">IF(ISBLANK(OFFSET($AP$2,D139,0)),"",OFFSET($AV$2,D139,0)-OFFSET($BB$2,D139,0))</f>
        <v/>
      </c>
      <c r="G146" s="2547"/>
      <c r="H146" s="2544" t="str">
        <f ca="1">IF(ISBLANK(OFFSET($AP$2,H139,0)),"",OFFSET($AV$2,H139,0))</f>
        <v/>
      </c>
      <c r="I146" s="2545"/>
      <c r="J146" s="2546" t="str">
        <f ca="1">IF(ISBLANK(OFFSET($AP$2,H139,0)),"",OFFSET($AV$2,H139,0)-OFFSET($BB$2,H139,0))</f>
        <v/>
      </c>
      <c r="K146" s="2547"/>
      <c r="L146" s="2544" t="str">
        <f ca="1">IF(ISBLANK(OFFSET($AP$2,L139,0)),"",OFFSET($AV$2,L139,0))</f>
        <v/>
      </c>
      <c r="M146" s="2545"/>
      <c r="N146" s="2546" t="str">
        <f ca="1">IF(ISBLANK(OFFSET($AP$2,L139,0)),"",OFFSET($AV$2,L139,0)-OFFSET($BB$2,L139,0))</f>
        <v/>
      </c>
      <c r="O146" s="2547"/>
      <c r="P146" s="2544" t="str">
        <f ca="1">IF(ISBLANK(OFFSET($AP$2,P139,0)),"",OFFSET($AV$2,P139,0))</f>
        <v/>
      </c>
      <c r="Q146" s="2545"/>
      <c r="R146" s="2546" t="str">
        <f ca="1">IF(ISBLANK(OFFSET($AP$2,P139,0)),"",OFFSET($AV$2,P139,0)-OFFSET($BB$2,P139,0))</f>
        <v/>
      </c>
      <c r="S146" s="2547"/>
      <c r="T146" s="2544" t="str">
        <f ca="1">IF(ISBLANK(OFFSET($AP$2,T139,0)),"",OFFSET($AV$2,T139,0))</f>
        <v/>
      </c>
      <c r="U146" s="2545"/>
      <c r="V146" s="2546" t="str">
        <f ca="1">IF(ISBLANK(OFFSET($AP$2,T139,0)),"",OFFSET($AV$2,T139,0)-OFFSET($BB$2,T139,0))</f>
        <v/>
      </c>
      <c r="W146" s="2547"/>
      <c r="X146" s="2544" t="str">
        <f ca="1">IF(ISBLANK(OFFSET($AP$2,X139,0)),"",OFFSET($AV$2,X139,0))</f>
        <v/>
      </c>
      <c r="Y146" s="2545"/>
      <c r="Z146" s="2546" t="str">
        <f ca="1">IF(ISBLANK(OFFSET($AP$2,X139,0)),"",OFFSET($AV$2,X139,0)-OFFSET($BB$2,X139,0))</f>
        <v/>
      </c>
      <c r="AA146" s="2547"/>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48" t="str">
        <f ca="1">IF(ISBLANK(OFFSET($AP$2,D147,0)),"",CONCATENATE("Seq. ",OFFSET($AP$2,D147,0)))</f>
        <v/>
      </c>
      <c r="E148" s="2549"/>
      <c r="F148" s="2549"/>
      <c r="G148" s="2550"/>
      <c r="H148" s="2548" t="str">
        <f ca="1">IF(ISBLANK(OFFSET($AP$2,H147,0)),"",CONCATENATE("Seq. ",OFFSET($AP$2,H147,0)))</f>
        <v/>
      </c>
      <c r="I148" s="2549"/>
      <c r="J148" s="2549"/>
      <c r="K148" s="2550"/>
      <c r="L148" s="2548" t="str">
        <f ca="1">IF(ISBLANK(OFFSET($AP$2,L147,0)),"",CONCATENATE("Seq. ",OFFSET($AP$2,L147,0)))</f>
        <v/>
      </c>
      <c r="M148" s="2549"/>
      <c r="N148" s="2549"/>
      <c r="O148" s="2550"/>
      <c r="P148" s="2548" t="str">
        <f ca="1">IF(ISBLANK(OFFSET($AP$2,P147,0)),"",CONCATENATE("Seq. ",OFFSET($AP$2,P147,0)))</f>
        <v/>
      </c>
      <c r="Q148" s="2549"/>
      <c r="R148" s="2549"/>
      <c r="S148" s="2550"/>
      <c r="T148" s="2548" t="str">
        <f ca="1">IF(ISBLANK(OFFSET($AP$2,T147,0)),"",CONCATENATE("Seq. ",OFFSET($AP$2,T147,0)))</f>
        <v/>
      </c>
      <c r="U148" s="2549"/>
      <c r="V148" s="2549"/>
      <c r="W148" s="2550"/>
      <c r="X148" s="2548" t="str">
        <f ca="1">IF(ISBLANK(OFFSET($AP$2,X147,0)),"",CONCATENATE("Seq. ",OFFSET($AP$2,X147,0)))</f>
        <v/>
      </c>
      <c r="Y148" s="2549"/>
      <c r="Z148" s="2549"/>
      <c r="AA148" s="2550"/>
      <c r="AB148" s="57"/>
    </row>
    <row r="149" spans="1:28" ht="12.95" hidden="1" customHeight="1" thickBot="1" x14ac:dyDescent="0.25">
      <c r="A149" s="57"/>
      <c r="B149" s="41"/>
      <c r="C149" s="42"/>
      <c r="D149" s="2551" t="s">
        <v>440</v>
      </c>
      <c r="E149" s="2552"/>
      <c r="F149" s="2552" t="s">
        <v>441</v>
      </c>
      <c r="G149" s="2553"/>
      <c r="H149" s="2551" t="s">
        <v>440</v>
      </c>
      <c r="I149" s="2552"/>
      <c r="J149" s="2552" t="s">
        <v>441</v>
      </c>
      <c r="K149" s="2553"/>
      <c r="L149" s="2551" t="s">
        <v>440</v>
      </c>
      <c r="M149" s="2552"/>
      <c r="N149" s="2552" t="s">
        <v>441</v>
      </c>
      <c r="O149" s="2553"/>
      <c r="P149" s="2551" t="s">
        <v>440</v>
      </c>
      <c r="Q149" s="2552"/>
      <c r="R149" s="2552" t="s">
        <v>441</v>
      </c>
      <c r="S149" s="2553"/>
      <c r="T149" s="2551" t="s">
        <v>440</v>
      </c>
      <c r="U149" s="2552"/>
      <c r="V149" s="2552" t="s">
        <v>441</v>
      </c>
      <c r="W149" s="2553"/>
      <c r="X149" s="2551" t="s">
        <v>440</v>
      </c>
      <c r="Y149" s="2552"/>
      <c r="Z149" s="2552" t="s">
        <v>441</v>
      </c>
      <c r="AA149" s="2553"/>
      <c r="AB149" s="57"/>
    </row>
    <row r="150" spans="1:28" ht="12.95" hidden="1" customHeight="1" x14ac:dyDescent="0.2">
      <c r="A150" s="57"/>
      <c r="B150" s="2554" t="s">
        <v>73</v>
      </c>
      <c r="C150" s="2555"/>
      <c r="D150" s="2536" t="str">
        <f ca="1">IF(ISBLANK(OFFSET($AP$2,D147,0)),"",OFFSET($AQ$2,D147,0)+OFFSET($AU$2,D147,0))</f>
        <v/>
      </c>
      <c r="E150" s="2537"/>
      <c r="F150" s="2538" t="str">
        <f ca="1">IF(ISBLANK(OFFSET($AP$2,D147,0)),"",(OFFSET($AQ$2,D147,0)+OFFSET($AU$2,D147,0))-(OFFSET($AW$2,D147,0)+OFFSET($BA$2,D147,0)))</f>
        <v/>
      </c>
      <c r="G150" s="2539"/>
      <c r="H150" s="2536" t="str">
        <f ca="1">IF(ISBLANK(OFFSET($AP$2,H147,0)),"",OFFSET($AQ$2,H147,0)+OFFSET($AU$2,H147,0))</f>
        <v/>
      </c>
      <c r="I150" s="2537"/>
      <c r="J150" s="2538" t="str">
        <f ca="1">IF(ISBLANK(OFFSET($AP$2,H147,0)),"",(OFFSET($AQ$2,H147,0)+OFFSET($AU$2,H147,0))-(OFFSET($AW$2,H147,0)+OFFSET($BA$2,H147,0)))</f>
        <v/>
      </c>
      <c r="K150" s="2539"/>
      <c r="L150" s="2536" t="str">
        <f ca="1">IF(ISBLANK(OFFSET($AP$2,L147,0)),"",OFFSET($AQ$2,L147,0)+OFFSET($AU$2,L147,0))</f>
        <v/>
      </c>
      <c r="M150" s="2537"/>
      <c r="N150" s="2538" t="str">
        <f ca="1">IF(ISBLANK(OFFSET($AP$2,L147,0)),"",(OFFSET($AQ$2,L147,0)+OFFSET($AU$2,L147,0))-(OFFSET($AW$2,L147,0)+OFFSET($BA$2,L147,0)))</f>
        <v/>
      </c>
      <c r="O150" s="2539"/>
      <c r="P150" s="2536" t="str">
        <f ca="1">IF(ISBLANK(OFFSET($AP$2,P147,0)),"",OFFSET($AQ$2,P147,0)+OFFSET($AU$2,P147,0))</f>
        <v/>
      </c>
      <c r="Q150" s="2537"/>
      <c r="R150" s="2538" t="str">
        <f ca="1">IF(ISBLANK(OFFSET($AP$2,P147,0)),"",(OFFSET($AQ$2,P147,0)+OFFSET($AU$2,P147,0))-(OFFSET($AW$2,P147,0)+OFFSET($BA$2,P147,0)))</f>
        <v/>
      </c>
      <c r="S150" s="2539"/>
      <c r="T150" s="2536" t="str">
        <f ca="1">IF(ISBLANK(OFFSET($AP$2,T147,0)),"",OFFSET($AQ$2,T147,0)+OFFSET($AU$2,T147,0))</f>
        <v/>
      </c>
      <c r="U150" s="2537"/>
      <c r="V150" s="2538" t="str">
        <f ca="1">IF(ISBLANK(OFFSET($AP$2,T147,0)),"",(OFFSET($AQ$2,T147,0)+OFFSET($AU$2,T147,0))-(OFFSET($AW$2,T147,0)+OFFSET($BA$2,T147,0)))</f>
        <v/>
      </c>
      <c r="W150" s="2539"/>
      <c r="X150" s="2536" t="str">
        <f ca="1">IF(ISBLANK(OFFSET($AP$2,X147,0)),"",OFFSET($AQ$2,X147,0)+OFFSET($AU$2,X147,0))</f>
        <v/>
      </c>
      <c r="Y150" s="2537"/>
      <c r="Z150" s="2538" t="str">
        <f ca="1">IF(ISBLANK(OFFSET($AP$2,X147,0)),"",(OFFSET($AQ$2,X147,0)+OFFSET($AU$2,X147,0))-(OFFSET($AW$2,X147,0)+OFFSET($BA$2,X147,0)))</f>
        <v/>
      </c>
      <c r="AA150" s="2539"/>
      <c r="AB150" s="57"/>
    </row>
    <row r="151" spans="1:28" ht="12.95" hidden="1" customHeight="1" x14ac:dyDescent="0.2">
      <c r="A151" s="57"/>
      <c r="B151" s="2540" t="s">
        <v>437</v>
      </c>
      <c r="C151" s="2541"/>
      <c r="D151" s="2536" t="str">
        <f ca="1">IF(ISBLANK(OFFSET($AP$2,D147,0)),"",OFFSET($AR$2,D147,0))</f>
        <v/>
      </c>
      <c r="E151" s="2537"/>
      <c r="F151" s="2538" t="str">
        <f ca="1">IF(ISBLANK(OFFSET($AP$2,D147,0)),"",OFFSET($AR$2,D147,0)-OFFSET($AX$2,D147,0))</f>
        <v/>
      </c>
      <c r="G151" s="2539"/>
      <c r="H151" s="2536" t="str">
        <f ca="1">IF(ISBLANK(OFFSET($AP$2,H147,0)),"",OFFSET($AR$2,H147,0))</f>
        <v/>
      </c>
      <c r="I151" s="2537"/>
      <c r="J151" s="2538" t="str">
        <f ca="1">IF(ISBLANK(OFFSET($AP$2,H147,0)),"",OFFSET($AR$2,H147,0)-OFFSET($AX$2,H147,0))</f>
        <v/>
      </c>
      <c r="K151" s="2539"/>
      <c r="L151" s="2536" t="str">
        <f ca="1">IF(ISBLANK(OFFSET($AP$2,L147,0)),"",OFFSET($AR$2,L147,0))</f>
        <v/>
      </c>
      <c r="M151" s="2537"/>
      <c r="N151" s="2538" t="str">
        <f ca="1">IF(ISBLANK(OFFSET($AP$2,L147,0)),"",OFFSET($AR$2,L147,0)-OFFSET($AX$2,L147,0))</f>
        <v/>
      </c>
      <c r="O151" s="2539"/>
      <c r="P151" s="2536" t="str">
        <f ca="1">IF(ISBLANK(OFFSET($AP$2,P147,0)),"",OFFSET($AR$2,P147,0))</f>
        <v/>
      </c>
      <c r="Q151" s="2537"/>
      <c r="R151" s="2538" t="str">
        <f ca="1">IF(ISBLANK(OFFSET($AP$2,P147,0)),"",OFFSET($AR$2,P147,0)-OFFSET($AX$2,P147,0))</f>
        <v/>
      </c>
      <c r="S151" s="2539"/>
      <c r="T151" s="2536" t="str">
        <f ca="1">IF(ISBLANK(OFFSET($AP$2,T147,0)),"",OFFSET($AR$2,T147,0))</f>
        <v/>
      </c>
      <c r="U151" s="2537"/>
      <c r="V151" s="2538" t="str">
        <f ca="1">IF(ISBLANK(OFFSET($AP$2,T147,0)),"",OFFSET($AR$2,T147,0)-OFFSET($AX$2,T147,0))</f>
        <v/>
      </c>
      <c r="W151" s="2539"/>
      <c r="X151" s="2536" t="str">
        <f ca="1">IF(ISBLANK(OFFSET($AP$2,X147,0)),"",OFFSET($AR$2,X147,0))</f>
        <v/>
      </c>
      <c r="Y151" s="2537"/>
      <c r="Z151" s="2538" t="str">
        <f ca="1">IF(ISBLANK(OFFSET($AP$2,X147,0)),"",OFFSET($AR$2,X147,0)-OFFSET($AX$2,X147,0))</f>
        <v/>
      </c>
      <c r="AA151" s="2539"/>
      <c r="AB151" s="57"/>
    </row>
    <row r="152" spans="1:28" ht="12.95" hidden="1" customHeight="1" x14ac:dyDescent="0.2">
      <c r="A152" s="57"/>
      <c r="B152" s="2540" t="s">
        <v>438</v>
      </c>
      <c r="C152" s="2541"/>
      <c r="D152" s="2536" t="str">
        <f ca="1">IF(ISBLANK(OFFSET($AP$2,D147,0)),"",OFFSET($AS$2,D147,0))</f>
        <v/>
      </c>
      <c r="E152" s="2537"/>
      <c r="F152" s="2538" t="str">
        <f ca="1">IF(ISBLANK(OFFSET($AP$2,D147,0)),"",OFFSET($AS$2,D147,0)-OFFSET($AY$2,D147,0))</f>
        <v/>
      </c>
      <c r="G152" s="2539"/>
      <c r="H152" s="2536" t="str">
        <f ca="1">IF(ISBLANK(OFFSET($AP$2,H147,0)),"",OFFSET($AS$2,H147,0))</f>
        <v/>
      </c>
      <c r="I152" s="2537"/>
      <c r="J152" s="2538" t="str">
        <f ca="1">IF(ISBLANK(OFFSET($AP$2,H147,0)),"",OFFSET($AS$2,H147,0)-OFFSET($AY$2,H147,0))</f>
        <v/>
      </c>
      <c r="K152" s="2539"/>
      <c r="L152" s="2536" t="str">
        <f ca="1">IF(ISBLANK(OFFSET($AP$2,L147,0)),"",OFFSET($AS$2,L147,0))</f>
        <v/>
      </c>
      <c r="M152" s="2537"/>
      <c r="N152" s="2538" t="str">
        <f ca="1">IF(ISBLANK(OFFSET($AP$2,L147,0)),"",OFFSET($AS$2,L147,0)-OFFSET($AY$2,L147,0))</f>
        <v/>
      </c>
      <c r="O152" s="2539"/>
      <c r="P152" s="2536" t="str">
        <f ca="1">IF(ISBLANK(OFFSET($AP$2,P147,0)),"",OFFSET($AS$2,P147,0))</f>
        <v/>
      </c>
      <c r="Q152" s="2537"/>
      <c r="R152" s="2538" t="str">
        <f ca="1">IF(ISBLANK(OFFSET($AP$2,P147,0)),"",OFFSET($AS$2,P147,0)-OFFSET($AY$2,P147,0))</f>
        <v/>
      </c>
      <c r="S152" s="2539"/>
      <c r="T152" s="2536" t="str">
        <f ca="1">IF(ISBLANK(OFFSET($AP$2,T147,0)),"",OFFSET($AS$2,T147,0))</f>
        <v/>
      </c>
      <c r="U152" s="2537"/>
      <c r="V152" s="2538" t="str">
        <f ca="1">IF(ISBLANK(OFFSET($AP$2,T147,0)),"",OFFSET($AS$2,T147,0)-OFFSET($AY$2,T147,0))</f>
        <v/>
      </c>
      <c r="W152" s="2539"/>
      <c r="X152" s="2536" t="str">
        <f ca="1">IF(ISBLANK(OFFSET($AP$2,X147,0)),"",OFFSET($AS$2,X147,0))</f>
        <v/>
      </c>
      <c r="Y152" s="2537"/>
      <c r="Z152" s="2538" t="str">
        <f ca="1">IF(ISBLANK(OFFSET($AP$2,X147,0)),"",OFFSET($AS$2,X147,0)-OFFSET($AY$2,X147,0))</f>
        <v/>
      </c>
      <c r="AA152" s="2539"/>
      <c r="AB152" s="57"/>
    </row>
    <row r="153" spans="1:28" ht="12.95" hidden="1" customHeight="1" x14ac:dyDescent="0.2">
      <c r="A153" s="57"/>
      <c r="B153" s="2540" t="s">
        <v>75</v>
      </c>
      <c r="C153" s="2541"/>
      <c r="D153" s="2536" t="str">
        <f ca="1">IF(ISBLANK(OFFSET($AP$2,D147,0)),"",OFFSET($AT$2,D147,0))</f>
        <v/>
      </c>
      <c r="E153" s="2537"/>
      <c r="F153" s="2538" t="str">
        <f ca="1">IF(ISBLANK(OFFSET($AP$2,D147,0)),"",OFFSET($AT$2,D147,0)-OFFSET($AZ$2,D147,0))</f>
        <v/>
      </c>
      <c r="G153" s="2539"/>
      <c r="H153" s="2536" t="str">
        <f ca="1">IF(ISBLANK(OFFSET($AP$2,H147,0)),"",OFFSET($AT$2,H147,0))</f>
        <v/>
      </c>
      <c r="I153" s="2537"/>
      <c r="J153" s="2538" t="str">
        <f ca="1">IF(ISBLANK(OFFSET($AP$2,H147,0)),"",OFFSET($AT$2,H147,0)-OFFSET($AZ$2,H147,0))</f>
        <v/>
      </c>
      <c r="K153" s="2539"/>
      <c r="L153" s="2536" t="str">
        <f ca="1">IF(ISBLANK(OFFSET($AP$2,L147,0)),"",OFFSET($AT$2,L147,0))</f>
        <v/>
      </c>
      <c r="M153" s="2537"/>
      <c r="N153" s="2538" t="str">
        <f ca="1">IF(ISBLANK(OFFSET($AP$2,L147,0)),"",OFFSET($AT$2,L147,0)-OFFSET($AZ$2,L147,0))</f>
        <v/>
      </c>
      <c r="O153" s="2539"/>
      <c r="P153" s="2536" t="str">
        <f ca="1">IF(ISBLANK(OFFSET($AP$2,P147,0)),"",OFFSET($AT$2,P147,0))</f>
        <v/>
      </c>
      <c r="Q153" s="2537"/>
      <c r="R153" s="2538" t="str">
        <f ca="1">IF(ISBLANK(OFFSET($AP$2,P147,0)),"",OFFSET($AT$2,P147,0)-OFFSET($AZ$2,P147,0))</f>
        <v/>
      </c>
      <c r="S153" s="2539"/>
      <c r="T153" s="2536" t="str">
        <f ca="1">IF(ISBLANK(OFFSET($AP$2,T147,0)),"",OFFSET($AT$2,T147,0))</f>
        <v/>
      </c>
      <c r="U153" s="2537"/>
      <c r="V153" s="2538" t="str">
        <f ca="1">IF(ISBLANK(OFFSET($AP$2,T147,0)),"",OFFSET($AT$2,T147,0)-OFFSET($AZ$2,T147,0))</f>
        <v/>
      </c>
      <c r="W153" s="2539"/>
      <c r="X153" s="2536" t="str">
        <f ca="1">IF(ISBLANK(OFFSET($AP$2,X147,0)),"",OFFSET($AT$2,X147,0))</f>
        <v/>
      </c>
      <c r="Y153" s="2537"/>
      <c r="Z153" s="2538" t="str">
        <f ca="1">IF(ISBLANK(OFFSET($AP$2,X147,0)),"",OFFSET($AT$2,X147,0)-OFFSET($AZ$2,X147,0))</f>
        <v/>
      </c>
      <c r="AA153" s="2539"/>
      <c r="AB153" s="57"/>
    </row>
    <row r="154" spans="1:28" ht="12.95" hidden="1" customHeight="1" thickBot="1" x14ac:dyDescent="0.25">
      <c r="A154" s="57"/>
      <c r="B154" s="2542" t="s">
        <v>439</v>
      </c>
      <c r="C154" s="2543"/>
      <c r="D154" s="2544" t="str">
        <f ca="1">IF(ISBLANK(OFFSET($AP$2,D147,0)),"",OFFSET($AV$2,D147,0))</f>
        <v/>
      </c>
      <c r="E154" s="2545"/>
      <c r="F154" s="2546" t="str">
        <f ca="1">IF(ISBLANK(OFFSET($AP$2,D147,0)),"",OFFSET($AV$2,D147,0)-OFFSET($BB$2,D147,0))</f>
        <v/>
      </c>
      <c r="G154" s="2547"/>
      <c r="H154" s="2544" t="str">
        <f ca="1">IF(ISBLANK(OFFSET($AP$2,H147,0)),"",OFFSET($AV$2,H147,0))</f>
        <v/>
      </c>
      <c r="I154" s="2545"/>
      <c r="J154" s="2546" t="str">
        <f ca="1">IF(ISBLANK(OFFSET($AP$2,H147,0)),"",OFFSET($AV$2,H147,0)-OFFSET($BB$2,H147,0))</f>
        <v/>
      </c>
      <c r="K154" s="2547"/>
      <c r="L154" s="2544" t="str">
        <f ca="1">IF(ISBLANK(OFFSET($AP$2,L147,0)),"",OFFSET($AV$2,L147,0))</f>
        <v/>
      </c>
      <c r="M154" s="2545"/>
      <c r="N154" s="2546" t="str">
        <f ca="1">IF(ISBLANK(OFFSET($AP$2,L147,0)),"",OFFSET($AV$2,L147,0)-OFFSET($BB$2,L147,0))</f>
        <v/>
      </c>
      <c r="O154" s="2547"/>
      <c r="P154" s="2544" t="str">
        <f ca="1">IF(ISBLANK(OFFSET($AP$2,P147,0)),"",OFFSET($AV$2,P147,0))</f>
        <v/>
      </c>
      <c r="Q154" s="2545"/>
      <c r="R154" s="2546" t="str">
        <f ca="1">IF(ISBLANK(OFFSET($AP$2,P147,0)),"",OFFSET($AV$2,P147,0)-OFFSET($BB$2,P147,0))</f>
        <v/>
      </c>
      <c r="S154" s="2547"/>
      <c r="T154" s="2544" t="str">
        <f ca="1">IF(ISBLANK(OFFSET($AP$2,T147,0)),"",OFFSET($AV$2,T147,0))</f>
        <v/>
      </c>
      <c r="U154" s="2545"/>
      <c r="V154" s="2546" t="str">
        <f ca="1">IF(ISBLANK(OFFSET($AP$2,T147,0)),"",OFFSET($AV$2,T147,0)-OFFSET($BB$2,T147,0))</f>
        <v/>
      </c>
      <c r="W154" s="2547"/>
      <c r="X154" s="2544" t="str">
        <f ca="1">IF(ISBLANK(OFFSET($AP$2,X147,0)),"",OFFSET($AV$2,X147,0))</f>
        <v/>
      </c>
      <c r="Y154" s="2545"/>
      <c r="Z154" s="2546" t="str">
        <f ca="1">IF(ISBLANK(OFFSET($AP$2,X147,0)),"",OFFSET($AV$2,X147,0)-OFFSET($BB$2,X147,0))</f>
        <v/>
      </c>
      <c r="AA154" s="2547"/>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48" t="str">
        <f ca="1">IF(ISBLANK(OFFSET($AP$2,D155,0)),"",CONCATENATE("Seq. ",OFFSET($AP$2,D155,0)))</f>
        <v/>
      </c>
      <c r="E156" s="2549"/>
      <c r="F156" s="2549"/>
      <c r="G156" s="2550"/>
      <c r="H156" s="2548" t="str">
        <f ca="1">IF(ISBLANK(OFFSET($AP$2,H155,0)),"",CONCATENATE("Seq. ",OFFSET($AP$2,H155,0)))</f>
        <v/>
      </c>
      <c r="I156" s="2549"/>
      <c r="J156" s="2549"/>
      <c r="K156" s="2550"/>
      <c r="L156" s="2548" t="str">
        <f ca="1">IF(ISBLANK(OFFSET($AP$2,L155,0)),"",CONCATENATE("Seq. ",OFFSET($AP$2,L155,0)))</f>
        <v/>
      </c>
      <c r="M156" s="2549"/>
      <c r="N156" s="2549"/>
      <c r="O156" s="2550"/>
      <c r="P156" s="2548" t="str">
        <f ca="1">IF(ISBLANK(OFFSET($AP$2,P155,0)),"",CONCATENATE("Seq. ",OFFSET($AP$2,P155,0)))</f>
        <v/>
      </c>
      <c r="Q156" s="2549"/>
      <c r="R156" s="2549"/>
      <c r="S156" s="2550"/>
      <c r="T156" s="2548" t="str">
        <f ca="1">IF(ISBLANK(OFFSET($AP$2,T155,0)),"",CONCATENATE("Seq. ",OFFSET($AP$2,T155,0)))</f>
        <v/>
      </c>
      <c r="U156" s="2549"/>
      <c r="V156" s="2549"/>
      <c r="W156" s="2550"/>
      <c r="X156" s="2548" t="str">
        <f ca="1">IF(ISBLANK(OFFSET($AP$2,X155,0)),"",CONCATENATE("Seq. ",OFFSET($AP$2,X155,0)))</f>
        <v/>
      </c>
      <c r="Y156" s="2549"/>
      <c r="Z156" s="2549"/>
      <c r="AA156" s="2550"/>
      <c r="AB156" s="57"/>
    </row>
    <row r="157" spans="1:28" ht="12.95" hidden="1" customHeight="1" thickBot="1" x14ac:dyDescent="0.25">
      <c r="A157" s="57"/>
      <c r="B157" s="41"/>
      <c r="C157" s="42"/>
      <c r="D157" s="2551" t="s">
        <v>440</v>
      </c>
      <c r="E157" s="2552"/>
      <c r="F157" s="2552" t="s">
        <v>441</v>
      </c>
      <c r="G157" s="2553"/>
      <c r="H157" s="2551" t="s">
        <v>440</v>
      </c>
      <c r="I157" s="2552"/>
      <c r="J157" s="2552" t="s">
        <v>441</v>
      </c>
      <c r="K157" s="2553"/>
      <c r="L157" s="2551" t="s">
        <v>440</v>
      </c>
      <c r="M157" s="2552"/>
      <c r="N157" s="2552" t="s">
        <v>441</v>
      </c>
      <c r="O157" s="2553"/>
      <c r="P157" s="2551" t="s">
        <v>440</v>
      </c>
      <c r="Q157" s="2552"/>
      <c r="R157" s="2552" t="s">
        <v>441</v>
      </c>
      <c r="S157" s="2553"/>
      <c r="T157" s="2551" t="s">
        <v>440</v>
      </c>
      <c r="U157" s="2552"/>
      <c r="V157" s="2552" t="s">
        <v>441</v>
      </c>
      <c r="W157" s="2553"/>
      <c r="X157" s="2551" t="s">
        <v>440</v>
      </c>
      <c r="Y157" s="2552"/>
      <c r="Z157" s="2552" t="s">
        <v>441</v>
      </c>
      <c r="AA157" s="2553"/>
      <c r="AB157" s="57"/>
    </row>
    <row r="158" spans="1:28" ht="12.95" hidden="1" customHeight="1" x14ac:dyDescent="0.2">
      <c r="A158" s="57"/>
      <c r="B158" s="2554" t="s">
        <v>73</v>
      </c>
      <c r="C158" s="2555"/>
      <c r="D158" s="2536" t="str">
        <f ca="1">IF(ISBLANK(OFFSET($AP$2,D155,0)),"",OFFSET($AQ$2,D155,0)+OFFSET($AU$2,D155,0))</f>
        <v/>
      </c>
      <c r="E158" s="2537"/>
      <c r="F158" s="2538" t="str">
        <f ca="1">IF(ISBLANK(OFFSET($AP$2,D155,0)),"",(OFFSET($AQ$2,D155,0)+OFFSET($AU$2,D155,0))-(OFFSET($AW$2,D155,0)+OFFSET($BA$2,D155,0)))</f>
        <v/>
      </c>
      <c r="G158" s="2539"/>
      <c r="H158" s="2536" t="str">
        <f ca="1">IF(ISBLANK(OFFSET($AP$2,H155,0)),"",OFFSET($AQ$2,H155,0)+OFFSET($AU$2,H155,0))</f>
        <v/>
      </c>
      <c r="I158" s="2537"/>
      <c r="J158" s="2538" t="str">
        <f ca="1">IF(ISBLANK(OFFSET($AP$2,H155,0)),"",(OFFSET($AQ$2,H155,0)+OFFSET($AU$2,H155,0))-(OFFSET($AW$2,H155,0)+OFFSET($BA$2,H155,0)))</f>
        <v/>
      </c>
      <c r="K158" s="2539"/>
      <c r="L158" s="2536" t="str">
        <f ca="1">IF(ISBLANK(OFFSET($AP$2,L155,0)),"",OFFSET($AQ$2,L155,0)+OFFSET($AU$2,L155,0))</f>
        <v/>
      </c>
      <c r="M158" s="2537"/>
      <c r="N158" s="2538" t="str">
        <f ca="1">IF(ISBLANK(OFFSET($AP$2,L155,0)),"",(OFFSET($AQ$2,L155,0)+OFFSET($AU$2,L155,0))-(OFFSET($AW$2,L155,0)+OFFSET($BA$2,L155,0)))</f>
        <v/>
      </c>
      <c r="O158" s="2539"/>
      <c r="P158" s="2536" t="str">
        <f ca="1">IF(ISBLANK(OFFSET($AP$2,P155,0)),"",OFFSET($AQ$2,P155,0)+OFFSET($AU$2,P155,0))</f>
        <v/>
      </c>
      <c r="Q158" s="2537"/>
      <c r="R158" s="2538" t="str">
        <f ca="1">IF(ISBLANK(OFFSET($AP$2,P155,0)),"",(OFFSET($AQ$2,P155,0)+OFFSET($AU$2,P155,0))-(OFFSET($AW$2,P155,0)+OFFSET($BA$2,P155,0)))</f>
        <v/>
      </c>
      <c r="S158" s="2539"/>
      <c r="T158" s="2536" t="str">
        <f ca="1">IF(ISBLANK(OFFSET($AP$2,T155,0)),"",OFFSET($AQ$2,T155,0)+OFFSET($AU$2,T155,0))</f>
        <v/>
      </c>
      <c r="U158" s="2537"/>
      <c r="V158" s="2538" t="str">
        <f ca="1">IF(ISBLANK(OFFSET($AP$2,T155,0)),"",(OFFSET($AQ$2,T155,0)+OFFSET($AU$2,T155,0))-(OFFSET($AW$2,T155,0)+OFFSET($BA$2,T155,0)))</f>
        <v/>
      </c>
      <c r="W158" s="2539"/>
      <c r="X158" s="2536" t="str">
        <f ca="1">IF(ISBLANK(OFFSET($AP$2,X155,0)),"",OFFSET($AQ$2,X155,0)+OFFSET($AU$2,X155,0))</f>
        <v/>
      </c>
      <c r="Y158" s="2537"/>
      <c r="Z158" s="2538" t="str">
        <f ca="1">IF(ISBLANK(OFFSET($AP$2,X155,0)),"",(OFFSET($AQ$2,X155,0)+OFFSET($AU$2,X155,0))-(OFFSET($AW$2,X155,0)+OFFSET($BA$2,X155,0)))</f>
        <v/>
      </c>
      <c r="AA158" s="2539"/>
      <c r="AB158" s="57"/>
    </row>
    <row r="159" spans="1:28" ht="12.95" hidden="1" customHeight="1" x14ac:dyDescent="0.2">
      <c r="A159" s="57"/>
      <c r="B159" s="2540" t="s">
        <v>437</v>
      </c>
      <c r="C159" s="2541"/>
      <c r="D159" s="2536" t="str">
        <f ca="1">IF(ISBLANK(OFFSET($AP$2,D155,0)),"",OFFSET($AR$2,D155,0))</f>
        <v/>
      </c>
      <c r="E159" s="2537"/>
      <c r="F159" s="2538" t="str">
        <f ca="1">IF(ISBLANK(OFFSET($AP$2,D155,0)),"",OFFSET($AR$2,D155,0)-OFFSET($AX$2,D155,0))</f>
        <v/>
      </c>
      <c r="G159" s="2539"/>
      <c r="H159" s="2536" t="str">
        <f ca="1">IF(ISBLANK(OFFSET($AP$2,H155,0)),"",OFFSET($AR$2,H155,0))</f>
        <v/>
      </c>
      <c r="I159" s="2537"/>
      <c r="J159" s="2538" t="str">
        <f ca="1">IF(ISBLANK(OFFSET($AP$2,H155,0)),"",OFFSET($AR$2,H155,0)-OFFSET($AX$2,H155,0))</f>
        <v/>
      </c>
      <c r="K159" s="2539"/>
      <c r="L159" s="2536" t="str">
        <f ca="1">IF(ISBLANK(OFFSET($AP$2,L155,0)),"",OFFSET($AR$2,L155,0))</f>
        <v/>
      </c>
      <c r="M159" s="2537"/>
      <c r="N159" s="2538" t="str">
        <f ca="1">IF(ISBLANK(OFFSET($AP$2,L155,0)),"",OFFSET($AR$2,L155,0)-OFFSET($AX$2,L155,0))</f>
        <v/>
      </c>
      <c r="O159" s="2539"/>
      <c r="P159" s="2536" t="str">
        <f ca="1">IF(ISBLANK(OFFSET($AP$2,P155,0)),"",OFFSET($AR$2,P155,0))</f>
        <v/>
      </c>
      <c r="Q159" s="2537"/>
      <c r="R159" s="2538" t="str">
        <f ca="1">IF(ISBLANK(OFFSET($AP$2,P155,0)),"",OFFSET($AR$2,P155,0)-OFFSET($AX$2,P155,0))</f>
        <v/>
      </c>
      <c r="S159" s="2539"/>
      <c r="T159" s="2536" t="str">
        <f ca="1">IF(ISBLANK(OFFSET($AP$2,T155,0)),"",OFFSET($AR$2,T155,0))</f>
        <v/>
      </c>
      <c r="U159" s="2537"/>
      <c r="V159" s="2538" t="str">
        <f ca="1">IF(ISBLANK(OFFSET($AP$2,T155,0)),"",OFFSET($AR$2,T155,0)-OFFSET($AX$2,T155,0))</f>
        <v/>
      </c>
      <c r="W159" s="2539"/>
      <c r="X159" s="2536" t="str">
        <f ca="1">IF(ISBLANK(OFFSET($AP$2,X155,0)),"",OFFSET($AR$2,X155,0))</f>
        <v/>
      </c>
      <c r="Y159" s="2537"/>
      <c r="Z159" s="2538" t="str">
        <f ca="1">IF(ISBLANK(OFFSET($AP$2,X155,0)),"",OFFSET($AR$2,X155,0)-OFFSET($AX$2,X155,0))</f>
        <v/>
      </c>
      <c r="AA159" s="2539"/>
      <c r="AB159" s="57"/>
    </row>
    <row r="160" spans="1:28" ht="12.95" hidden="1" customHeight="1" x14ac:dyDescent="0.2">
      <c r="A160" s="57"/>
      <c r="B160" s="2540" t="s">
        <v>438</v>
      </c>
      <c r="C160" s="2541"/>
      <c r="D160" s="2536" t="str">
        <f ca="1">IF(ISBLANK(OFFSET($AP$2,D155,0)),"",OFFSET($AS$2,D155,0))</f>
        <v/>
      </c>
      <c r="E160" s="2537"/>
      <c r="F160" s="2538" t="str">
        <f ca="1">IF(ISBLANK(OFFSET($AP$2,D155,0)),"",OFFSET($AS$2,D155,0)-OFFSET($AY$2,D155,0))</f>
        <v/>
      </c>
      <c r="G160" s="2539"/>
      <c r="H160" s="2536" t="str">
        <f ca="1">IF(ISBLANK(OFFSET($AP$2,H155,0)),"",OFFSET($AS$2,H155,0))</f>
        <v/>
      </c>
      <c r="I160" s="2537"/>
      <c r="J160" s="2538" t="str">
        <f ca="1">IF(ISBLANK(OFFSET($AP$2,H155,0)),"",OFFSET($AS$2,H155,0)-OFFSET($AY$2,H155,0))</f>
        <v/>
      </c>
      <c r="K160" s="2539"/>
      <c r="L160" s="2536" t="str">
        <f ca="1">IF(ISBLANK(OFFSET($AP$2,L155,0)),"",OFFSET($AS$2,L155,0))</f>
        <v/>
      </c>
      <c r="M160" s="2537"/>
      <c r="N160" s="2538" t="str">
        <f ca="1">IF(ISBLANK(OFFSET($AP$2,L155,0)),"",OFFSET($AS$2,L155,0)-OFFSET($AY$2,L155,0))</f>
        <v/>
      </c>
      <c r="O160" s="2539"/>
      <c r="P160" s="2536" t="str">
        <f ca="1">IF(ISBLANK(OFFSET($AP$2,P155,0)),"",OFFSET($AS$2,P155,0))</f>
        <v/>
      </c>
      <c r="Q160" s="2537"/>
      <c r="R160" s="2538" t="str">
        <f ca="1">IF(ISBLANK(OFFSET($AP$2,P155,0)),"",OFFSET($AS$2,P155,0)-OFFSET($AY$2,P155,0))</f>
        <v/>
      </c>
      <c r="S160" s="2539"/>
      <c r="T160" s="2536" t="str">
        <f ca="1">IF(ISBLANK(OFFSET($AP$2,T155,0)),"",OFFSET($AS$2,T155,0))</f>
        <v/>
      </c>
      <c r="U160" s="2537"/>
      <c r="V160" s="2538" t="str">
        <f ca="1">IF(ISBLANK(OFFSET($AP$2,T155,0)),"",OFFSET($AS$2,T155,0)-OFFSET($AY$2,T155,0))</f>
        <v/>
      </c>
      <c r="W160" s="2539"/>
      <c r="X160" s="2536" t="str">
        <f ca="1">IF(ISBLANK(OFFSET($AP$2,X155,0)),"",OFFSET($AS$2,X155,0))</f>
        <v/>
      </c>
      <c r="Y160" s="2537"/>
      <c r="Z160" s="2538" t="str">
        <f ca="1">IF(ISBLANK(OFFSET($AP$2,X155,0)),"",OFFSET($AS$2,X155,0)-OFFSET($AY$2,X155,0))</f>
        <v/>
      </c>
      <c r="AA160" s="2539"/>
      <c r="AB160" s="57"/>
    </row>
    <row r="161" spans="1:28" ht="12.95" hidden="1" customHeight="1" x14ac:dyDescent="0.2">
      <c r="A161" s="57"/>
      <c r="B161" s="2540" t="s">
        <v>75</v>
      </c>
      <c r="C161" s="2541"/>
      <c r="D161" s="2536" t="str">
        <f ca="1">IF(ISBLANK(OFFSET($AP$2,D155,0)),"",OFFSET($AT$2,D155,0))</f>
        <v/>
      </c>
      <c r="E161" s="2537"/>
      <c r="F161" s="2538" t="str">
        <f ca="1">IF(ISBLANK(OFFSET($AP$2,D155,0)),"",OFFSET($AT$2,D155,0)-OFFSET($AZ$2,D155,0))</f>
        <v/>
      </c>
      <c r="G161" s="2539"/>
      <c r="H161" s="2536" t="str">
        <f ca="1">IF(ISBLANK(OFFSET($AP$2,H155,0)),"",OFFSET($AT$2,H155,0))</f>
        <v/>
      </c>
      <c r="I161" s="2537"/>
      <c r="J161" s="2538" t="str">
        <f ca="1">IF(ISBLANK(OFFSET($AP$2,H155,0)),"",OFFSET($AT$2,H155,0)-OFFSET($AZ$2,H155,0))</f>
        <v/>
      </c>
      <c r="K161" s="2539"/>
      <c r="L161" s="2536" t="str">
        <f ca="1">IF(ISBLANK(OFFSET($AP$2,L155,0)),"",OFFSET($AT$2,L155,0))</f>
        <v/>
      </c>
      <c r="M161" s="2537"/>
      <c r="N161" s="2538" t="str">
        <f ca="1">IF(ISBLANK(OFFSET($AP$2,L155,0)),"",OFFSET($AT$2,L155,0)-OFFSET($AZ$2,L155,0))</f>
        <v/>
      </c>
      <c r="O161" s="2539"/>
      <c r="P161" s="2536" t="str">
        <f ca="1">IF(ISBLANK(OFFSET($AP$2,P155,0)),"",OFFSET($AT$2,P155,0))</f>
        <v/>
      </c>
      <c r="Q161" s="2537"/>
      <c r="R161" s="2538" t="str">
        <f ca="1">IF(ISBLANK(OFFSET($AP$2,P155,0)),"",OFFSET($AT$2,P155,0)-OFFSET($AZ$2,P155,0))</f>
        <v/>
      </c>
      <c r="S161" s="2539"/>
      <c r="T161" s="2536" t="str">
        <f ca="1">IF(ISBLANK(OFFSET($AP$2,T155,0)),"",OFFSET($AT$2,T155,0))</f>
        <v/>
      </c>
      <c r="U161" s="2537"/>
      <c r="V161" s="2538" t="str">
        <f ca="1">IF(ISBLANK(OFFSET($AP$2,T155,0)),"",OFFSET($AT$2,T155,0)-OFFSET($AZ$2,T155,0))</f>
        <v/>
      </c>
      <c r="W161" s="2539"/>
      <c r="X161" s="2536" t="str">
        <f ca="1">IF(ISBLANK(OFFSET($AP$2,X155,0)),"",OFFSET($AT$2,X155,0))</f>
        <v/>
      </c>
      <c r="Y161" s="2537"/>
      <c r="Z161" s="2538" t="str">
        <f ca="1">IF(ISBLANK(OFFSET($AP$2,X155,0)),"",OFFSET($AT$2,X155,0)-OFFSET($AZ$2,X155,0))</f>
        <v/>
      </c>
      <c r="AA161" s="2539"/>
      <c r="AB161" s="57"/>
    </row>
    <row r="162" spans="1:28" ht="12.95" hidden="1" customHeight="1" thickBot="1" x14ac:dyDescent="0.25">
      <c r="A162" s="57"/>
      <c r="B162" s="2542" t="s">
        <v>439</v>
      </c>
      <c r="C162" s="2543"/>
      <c r="D162" s="2544" t="str">
        <f ca="1">IF(ISBLANK(OFFSET($AP$2,D155,0)),"",OFFSET($AV$2,D155,0))</f>
        <v/>
      </c>
      <c r="E162" s="2545"/>
      <c r="F162" s="2546" t="str">
        <f ca="1">IF(ISBLANK(OFFSET($AP$2,D155,0)),"",OFFSET($AV$2,D155,0)-OFFSET($BB$2,D155,0))</f>
        <v/>
      </c>
      <c r="G162" s="2547"/>
      <c r="H162" s="2544" t="str">
        <f ca="1">IF(ISBLANK(OFFSET($AP$2,H155,0)),"",OFFSET($AV$2,H155,0))</f>
        <v/>
      </c>
      <c r="I162" s="2545"/>
      <c r="J162" s="2546" t="str">
        <f ca="1">IF(ISBLANK(OFFSET($AP$2,H155,0)),"",OFFSET($AV$2,H155,0)-OFFSET($BB$2,H155,0))</f>
        <v/>
      </c>
      <c r="K162" s="2547"/>
      <c r="L162" s="2544" t="str">
        <f ca="1">IF(ISBLANK(OFFSET($AP$2,L155,0)),"",OFFSET($AV$2,L155,0))</f>
        <v/>
      </c>
      <c r="M162" s="2545"/>
      <c r="N162" s="2546" t="str">
        <f ca="1">IF(ISBLANK(OFFSET($AP$2,L155,0)),"",OFFSET($AV$2,L155,0)-OFFSET($BB$2,L155,0))</f>
        <v/>
      </c>
      <c r="O162" s="2547"/>
      <c r="P162" s="2544" t="str">
        <f ca="1">IF(ISBLANK(OFFSET($AP$2,P155,0)),"",OFFSET($AV$2,P155,0))</f>
        <v/>
      </c>
      <c r="Q162" s="2545"/>
      <c r="R162" s="2546" t="str">
        <f ca="1">IF(ISBLANK(OFFSET($AP$2,P155,0)),"",OFFSET($AV$2,P155,0)-OFFSET($BB$2,P155,0))</f>
        <v/>
      </c>
      <c r="S162" s="2547"/>
      <c r="T162" s="2544" t="str">
        <f ca="1">IF(ISBLANK(OFFSET($AP$2,T155,0)),"",OFFSET($AV$2,T155,0))</f>
        <v/>
      </c>
      <c r="U162" s="2545"/>
      <c r="V162" s="2546" t="str">
        <f ca="1">IF(ISBLANK(OFFSET($AP$2,T155,0)),"",OFFSET($AV$2,T155,0)-OFFSET($BB$2,T155,0))</f>
        <v/>
      </c>
      <c r="W162" s="2547"/>
      <c r="X162" s="2544" t="str">
        <f ca="1">IF(ISBLANK(OFFSET($AP$2,X155,0)),"",OFFSET($AV$2,X155,0))</f>
        <v/>
      </c>
      <c r="Y162" s="2545"/>
      <c r="Z162" s="2546" t="str">
        <f ca="1">IF(ISBLANK(OFFSET($AP$2,X155,0)),"",OFFSET($AV$2,X155,0)-OFFSET($BB$2,X155,0))</f>
        <v/>
      </c>
      <c r="AA162" s="2547"/>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48" t="str">
        <f ca="1">IF(ISBLANK(OFFSET($AP$2,D163,0)),"",CONCATENATE("Seq. ",OFFSET($AP$2,D163,0)))</f>
        <v/>
      </c>
      <c r="E164" s="2549"/>
      <c r="F164" s="2549"/>
      <c r="G164" s="2550"/>
      <c r="H164" s="2548" t="str">
        <f ca="1">IF(ISBLANK(OFFSET($AP$2,H163,0)),"",CONCATENATE("Seq. ",OFFSET($AP$2,H163,0)))</f>
        <v/>
      </c>
      <c r="I164" s="2549"/>
      <c r="J164" s="2549"/>
      <c r="K164" s="2550"/>
      <c r="L164" s="2548" t="str">
        <f ca="1">IF(ISBLANK(OFFSET($AP$2,L163,0)),"",CONCATENATE("Seq. ",OFFSET($AP$2,L163,0)))</f>
        <v/>
      </c>
      <c r="M164" s="2549"/>
      <c r="N164" s="2549"/>
      <c r="O164" s="2550"/>
      <c r="P164" s="2548" t="str">
        <f ca="1">IF(ISBLANK(OFFSET($AP$2,P163,0)),"",CONCATENATE("Seq. ",OFFSET($AP$2,P163,0)))</f>
        <v/>
      </c>
      <c r="Q164" s="2549"/>
      <c r="R164" s="2549"/>
      <c r="S164" s="2550"/>
      <c r="T164" s="2548" t="str">
        <f ca="1">IF(ISBLANK(OFFSET($AP$2,T163,0)),"",CONCATENATE("Seq. ",OFFSET($AP$2,T163,0)))</f>
        <v/>
      </c>
      <c r="U164" s="2549"/>
      <c r="V164" s="2549"/>
      <c r="W164" s="2550"/>
      <c r="X164" s="2548" t="str">
        <f ca="1">IF(ISBLANK(OFFSET($AP$2,X163,0)),"",CONCATENATE("Seq. ",OFFSET($AP$2,X163,0)))</f>
        <v/>
      </c>
      <c r="Y164" s="2549"/>
      <c r="Z164" s="2549"/>
      <c r="AA164" s="2550"/>
      <c r="AB164" s="57"/>
    </row>
    <row r="165" spans="1:28" ht="12.95" hidden="1" customHeight="1" thickBot="1" x14ac:dyDescent="0.25">
      <c r="A165" s="57"/>
      <c r="B165" s="41"/>
      <c r="C165" s="42"/>
      <c r="D165" s="2551" t="s">
        <v>440</v>
      </c>
      <c r="E165" s="2552"/>
      <c r="F165" s="2552" t="s">
        <v>441</v>
      </c>
      <c r="G165" s="2553"/>
      <c r="H165" s="2551" t="s">
        <v>440</v>
      </c>
      <c r="I165" s="2552"/>
      <c r="J165" s="2552" t="s">
        <v>441</v>
      </c>
      <c r="K165" s="2553"/>
      <c r="L165" s="2551" t="s">
        <v>440</v>
      </c>
      <c r="M165" s="2552"/>
      <c r="N165" s="2552" t="s">
        <v>441</v>
      </c>
      <c r="O165" s="2553"/>
      <c r="P165" s="2551" t="s">
        <v>440</v>
      </c>
      <c r="Q165" s="2552"/>
      <c r="R165" s="2552" t="s">
        <v>441</v>
      </c>
      <c r="S165" s="2553"/>
      <c r="T165" s="2551" t="s">
        <v>440</v>
      </c>
      <c r="U165" s="2552"/>
      <c r="V165" s="2552" t="s">
        <v>441</v>
      </c>
      <c r="W165" s="2553"/>
      <c r="X165" s="2551" t="s">
        <v>440</v>
      </c>
      <c r="Y165" s="2552"/>
      <c r="Z165" s="2552" t="s">
        <v>441</v>
      </c>
      <c r="AA165" s="2553"/>
      <c r="AB165" s="57"/>
    </row>
    <row r="166" spans="1:28" ht="12.95" hidden="1" customHeight="1" x14ac:dyDescent="0.2">
      <c r="A166" s="57"/>
      <c r="B166" s="2554" t="s">
        <v>73</v>
      </c>
      <c r="C166" s="2555"/>
      <c r="D166" s="2536" t="str">
        <f ca="1">IF(ISBLANK(OFFSET($AP$2,D163,0)),"",OFFSET($AQ$2,D163,0)+OFFSET($AU$2,D163,0))</f>
        <v/>
      </c>
      <c r="E166" s="2537"/>
      <c r="F166" s="2538" t="str">
        <f ca="1">IF(ISBLANK(OFFSET($AP$2,D163,0)),"",(OFFSET($AQ$2,D163,0)+OFFSET($AU$2,D163,0))-(OFFSET($AW$2,D163,0)+OFFSET($BA$2,D163,0)))</f>
        <v/>
      </c>
      <c r="G166" s="2539"/>
      <c r="H166" s="2536" t="str">
        <f ca="1">IF(ISBLANK(OFFSET($AP$2,H163,0)),"",OFFSET($AQ$2,H163,0)+OFFSET($AU$2,H163,0))</f>
        <v/>
      </c>
      <c r="I166" s="2537"/>
      <c r="J166" s="2538" t="str">
        <f ca="1">IF(ISBLANK(OFFSET($AP$2,H163,0)),"",(OFFSET($AQ$2,H163,0)+OFFSET($AU$2,H163,0))-(OFFSET($AW$2,H163,0)+OFFSET($BA$2,H163,0)))</f>
        <v/>
      </c>
      <c r="K166" s="2539"/>
      <c r="L166" s="2536" t="str">
        <f ca="1">IF(ISBLANK(OFFSET($AP$2,L163,0)),"",OFFSET($AQ$2,L163,0)+OFFSET($AU$2,L163,0))</f>
        <v/>
      </c>
      <c r="M166" s="2537"/>
      <c r="N166" s="2538" t="str">
        <f ca="1">IF(ISBLANK(OFFSET($AP$2,L163,0)),"",(OFFSET($AQ$2,L163,0)+OFFSET($AU$2,L163,0))-(OFFSET($AW$2,L163,0)+OFFSET($BA$2,L163,0)))</f>
        <v/>
      </c>
      <c r="O166" s="2539"/>
      <c r="P166" s="2536" t="str">
        <f ca="1">IF(ISBLANK(OFFSET($AP$2,P163,0)),"",OFFSET($AQ$2,P163,0)+OFFSET($AU$2,P163,0))</f>
        <v/>
      </c>
      <c r="Q166" s="2537"/>
      <c r="R166" s="2538" t="str">
        <f ca="1">IF(ISBLANK(OFFSET($AP$2,P163,0)),"",(OFFSET($AQ$2,P163,0)+OFFSET($AU$2,P163,0))-(OFFSET($AW$2,P163,0)+OFFSET($BA$2,P163,0)))</f>
        <v/>
      </c>
      <c r="S166" s="2539"/>
      <c r="T166" s="2536" t="str">
        <f ca="1">IF(ISBLANK(OFFSET($AP$2,T163,0)),"",OFFSET($AQ$2,T163,0)+OFFSET($AU$2,T163,0))</f>
        <v/>
      </c>
      <c r="U166" s="2537"/>
      <c r="V166" s="2538" t="str">
        <f ca="1">IF(ISBLANK(OFFSET($AP$2,T163,0)),"",(OFFSET($AQ$2,T163,0)+OFFSET($AU$2,T163,0))-(OFFSET($AW$2,T163,0)+OFFSET($BA$2,T163,0)))</f>
        <v/>
      </c>
      <c r="W166" s="2539"/>
      <c r="X166" s="2536" t="str">
        <f ca="1">IF(ISBLANK(OFFSET($AP$2,X163,0)),"",OFFSET($AQ$2,X163,0)+OFFSET($AU$2,X163,0))</f>
        <v/>
      </c>
      <c r="Y166" s="2537"/>
      <c r="Z166" s="2538" t="str">
        <f ca="1">IF(ISBLANK(OFFSET($AP$2,X163,0)),"",(OFFSET($AQ$2,X163,0)+OFFSET($AU$2,X163,0))-(OFFSET($AW$2,X163,0)+OFFSET($BA$2,X163,0)))</f>
        <v/>
      </c>
      <c r="AA166" s="2539"/>
      <c r="AB166" s="57"/>
    </row>
    <row r="167" spans="1:28" ht="12.95" hidden="1" customHeight="1" x14ac:dyDescent="0.2">
      <c r="A167" s="57"/>
      <c r="B167" s="2540" t="s">
        <v>437</v>
      </c>
      <c r="C167" s="2541"/>
      <c r="D167" s="2536" t="str">
        <f ca="1">IF(ISBLANK(OFFSET($AP$2,D163,0)),"",OFFSET($AR$2,D163,0))</f>
        <v/>
      </c>
      <c r="E167" s="2537"/>
      <c r="F167" s="2538" t="str">
        <f ca="1">IF(ISBLANK(OFFSET($AP$2,D163,0)),"",OFFSET($AR$2,D163,0)-OFFSET($AX$2,D163,0))</f>
        <v/>
      </c>
      <c r="G167" s="2539"/>
      <c r="H167" s="2536" t="str">
        <f ca="1">IF(ISBLANK(OFFSET($AP$2,H163,0)),"",OFFSET($AR$2,H163,0))</f>
        <v/>
      </c>
      <c r="I167" s="2537"/>
      <c r="J167" s="2538" t="str">
        <f ca="1">IF(ISBLANK(OFFSET($AP$2,H163,0)),"",OFFSET($AR$2,H163,0)-OFFSET($AX$2,H163,0))</f>
        <v/>
      </c>
      <c r="K167" s="2539"/>
      <c r="L167" s="2536" t="str">
        <f ca="1">IF(ISBLANK(OFFSET($AP$2,L163,0)),"",OFFSET($AR$2,L163,0))</f>
        <v/>
      </c>
      <c r="M167" s="2537"/>
      <c r="N167" s="2538" t="str">
        <f ca="1">IF(ISBLANK(OFFSET($AP$2,L163,0)),"",OFFSET($AR$2,L163,0)-OFFSET($AX$2,L163,0))</f>
        <v/>
      </c>
      <c r="O167" s="2539"/>
      <c r="P167" s="2536" t="str">
        <f ca="1">IF(ISBLANK(OFFSET($AP$2,P163,0)),"",OFFSET($AR$2,P163,0))</f>
        <v/>
      </c>
      <c r="Q167" s="2537"/>
      <c r="R167" s="2538" t="str">
        <f ca="1">IF(ISBLANK(OFFSET($AP$2,P163,0)),"",OFFSET($AR$2,P163,0)-OFFSET($AX$2,P163,0))</f>
        <v/>
      </c>
      <c r="S167" s="2539"/>
      <c r="T167" s="2536" t="str">
        <f ca="1">IF(ISBLANK(OFFSET($AP$2,T163,0)),"",OFFSET($AR$2,T163,0))</f>
        <v/>
      </c>
      <c r="U167" s="2537"/>
      <c r="V167" s="2538" t="str">
        <f ca="1">IF(ISBLANK(OFFSET($AP$2,T163,0)),"",OFFSET($AR$2,T163,0)-OFFSET($AX$2,T163,0))</f>
        <v/>
      </c>
      <c r="W167" s="2539"/>
      <c r="X167" s="2536" t="str">
        <f ca="1">IF(ISBLANK(OFFSET($AP$2,X163,0)),"",OFFSET($AR$2,X163,0))</f>
        <v/>
      </c>
      <c r="Y167" s="2537"/>
      <c r="Z167" s="2538" t="str">
        <f ca="1">IF(ISBLANK(OFFSET($AP$2,X163,0)),"",OFFSET($AR$2,X163,0)-OFFSET($AX$2,X163,0))</f>
        <v/>
      </c>
      <c r="AA167" s="2539"/>
      <c r="AB167" s="57"/>
    </row>
    <row r="168" spans="1:28" ht="12.95" hidden="1" customHeight="1" x14ac:dyDescent="0.2">
      <c r="A168" s="57"/>
      <c r="B168" s="2540" t="s">
        <v>438</v>
      </c>
      <c r="C168" s="2541"/>
      <c r="D168" s="2536" t="str">
        <f ca="1">IF(ISBLANK(OFFSET($AP$2,D163,0)),"",OFFSET($AS$2,D163,0))</f>
        <v/>
      </c>
      <c r="E168" s="2537"/>
      <c r="F168" s="2538" t="str">
        <f ca="1">IF(ISBLANK(OFFSET($AP$2,D163,0)),"",OFFSET($AS$2,D163,0)-OFFSET($AY$2,D163,0))</f>
        <v/>
      </c>
      <c r="G168" s="2539"/>
      <c r="H168" s="2536" t="str">
        <f ca="1">IF(ISBLANK(OFFSET($AP$2,H163,0)),"",OFFSET($AS$2,H163,0))</f>
        <v/>
      </c>
      <c r="I168" s="2537"/>
      <c r="J168" s="2538" t="str">
        <f ca="1">IF(ISBLANK(OFFSET($AP$2,H163,0)),"",OFFSET($AS$2,H163,0)-OFFSET($AY$2,H163,0))</f>
        <v/>
      </c>
      <c r="K168" s="2539"/>
      <c r="L168" s="2536" t="str">
        <f ca="1">IF(ISBLANK(OFFSET($AP$2,L163,0)),"",OFFSET($AS$2,L163,0))</f>
        <v/>
      </c>
      <c r="M168" s="2537"/>
      <c r="N168" s="2538" t="str">
        <f ca="1">IF(ISBLANK(OFFSET($AP$2,L163,0)),"",OFFSET($AS$2,L163,0)-OFFSET($AY$2,L163,0))</f>
        <v/>
      </c>
      <c r="O168" s="2539"/>
      <c r="P168" s="2536" t="str">
        <f ca="1">IF(ISBLANK(OFFSET($AP$2,P163,0)),"",OFFSET($AS$2,P163,0))</f>
        <v/>
      </c>
      <c r="Q168" s="2537"/>
      <c r="R168" s="2538" t="str">
        <f ca="1">IF(ISBLANK(OFFSET($AP$2,P163,0)),"",OFFSET($AS$2,P163,0)-OFFSET($AY$2,P163,0))</f>
        <v/>
      </c>
      <c r="S168" s="2539"/>
      <c r="T168" s="2536" t="str">
        <f ca="1">IF(ISBLANK(OFFSET($AP$2,T163,0)),"",OFFSET($AS$2,T163,0))</f>
        <v/>
      </c>
      <c r="U168" s="2537"/>
      <c r="V168" s="2538" t="str">
        <f ca="1">IF(ISBLANK(OFFSET($AP$2,T163,0)),"",OFFSET($AS$2,T163,0)-OFFSET($AY$2,T163,0))</f>
        <v/>
      </c>
      <c r="W168" s="2539"/>
      <c r="X168" s="2536" t="str">
        <f ca="1">IF(ISBLANK(OFFSET($AP$2,X163,0)),"",OFFSET($AS$2,X163,0))</f>
        <v/>
      </c>
      <c r="Y168" s="2537"/>
      <c r="Z168" s="2538" t="str">
        <f ca="1">IF(ISBLANK(OFFSET($AP$2,X163,0)),"",OFFSET($AS$2,X163,0)-OFFSET($AY$2,X163,0))</f>
        <v/>
      </c>
      <c r="AA168" s="2539"/>
      <c r="AB168" s="57"/>
    </row>
    <row r="169" spans="1:28" ht="12.95" hidden="1" customHeight="1" x14ac:dyDescent="0.2">
      <c r="A169" s="57"/>
      <c r="B169" s="2540" t="s">
        <v>75</v>
      </c>
      <c r="C169" s="2541"/>
      <c r="D169" s="2536" t="str">
        <f ca="1">IF(ISBLANK(OFFSET($AP$2,D163,0)),"",OFFSET($AT$2,D163,0))</f>
        <v/>
      </c>
      <c r="E169" s="2537"/>
      <c r="F169" s="2538" t="str">
        <f ca="1">IF(ISBLANK(OFFSET($AP$2,D163,0)),"",OFFSET($AT$2,D163,0)-OFFSET($AZ$2,D163,0))</f>
        <v/>
      </c>
      <c r="G169" s="2539"/>
      <c r="H169" s="2536" t="str">
        <f ca="1">IF(ISBLANK(OFFSET($AP$2,H163,0)),"",OFFSET($AT$2,H163,0))</f>
        <v/>
      </c>
      <c r="I169" s="2537"/>
      <c r="J169" s="2538" t="str">
        <f ca="1">IF(ISBLANK(OFFSET($AP$2,H163,0)),"",OFFSET($AT$2,H163,0)-OFFSET($AZ$2,H163,0))</f>
        <v/>
      </c>
      <c r="K169" s="2539"/>
      <c r="L169" s="2536" t="str">
        <f ca="1">IF(ISBLANK(OFFSET($AP$2,L163,0)),"",OFFSET($AT$2,L163,0))</f>
        <v/>
      </c>
      <c r="M169" s="2537"/>
      <c r="N169" s="2538" t="str">
        <f ca="1">IF(ISBLANK(OFFSET($AP$2,L163,0)),"",OFFSET($AT$2,L163,0)-OFFSET($AZ$2,L163,0))</f>
        <v/>
      </c>
      <c r="O169" s="2539"/>
      <c r="P169" s="2536" t="str">
        <f ca="1">IF(ISBLANK(OFFSET($AP$2,P163,0)),"",OFFSET($AT$2,P163,0))</f>
        <v/>
      </c>
      <c r="Q169" s="2537"/>
      <c r="R169" s="2538" t="str">
        <f ca="1">IF(ISBLANK(OFFSET($AP$2,P163,0)),"",OFFSET($AT$2,P163,0)-OFFSET($AZ$2,P163,0))</f>
        <v/>
      </c>
      <c r="S169" s="2539"/>
      <c r="T169" s="2536" t="str">
        <f ca="1">IF(ISBLANK(OFFSET($AP$2,T163,0)),"",OFFSET($AT$2,T163,0))</f>
        <v/>
      </c>
      <c r="U169" s="2537"/>
      <c r="V169" s="2538" t="str">
        <f ca="1">IF(ISBLANK(OFFSET($AP$2,T163,0)),"",OFFSET($AT$2,T163,0)-OFFSET($AZ$2,T163,0))</f>
        <v/>
      </c>
      <c r="W169" s="2539"/>
      <c r="X169" s="2536" t="str">
        <f ca="1">IF(ISBLANK(OFFSET($AP$2,X163,0)),"",OFFSET($AT$2,X163,0))</f>
        <v/>
      </c>
      <c r="Y169" s="2537"/>
      <c r="Z169" s="2538" t="str">
        <f ca="1">IF(ISBLANK(OFFSET($AP$2,X163,0)),"",OFFSET($AT$2,X163,0)-OFFSET($AZ$2,X163,0))</f>
        <v/>
      </c>
      <c r="AA169" s="2539"/>
      <c r="AB169" s="57"/>
    </row>
    <row r="170" spans="1:28" ht="12.95" hidden="1" customHeight="1" thickBot="1" x14ac:dyDescent="0.25">
      <c r="A170" s="57"/>
      <c r="B170" s="2542" t="s">
        <v>439</v>
      </c>
      <c r="C170" s="2543"/>
      <c r="D170" s="2544" t="str">
        <f ca="1">IF(ISBLANK(OFFSET($AP$2,D163,0)),"",OFFSET($AV$2,D163,0))</f>
        <v/>
      </c>
      <c r="E170" s="2545"/>
      <c r="F170" s="2546" t="str">
        <f ca="1">IF(ISBLANK(OFFSET($AP$2,D163,0)),"",OFFSET($AV$2,D163,0)-OFFSET($BB$2,D163,0))</f>
        <v/>
      </c>
      <c r="G170" s="2547"/>
      <c r="H170" s="2544" t="str">
        <f ca="1">IF(ISBLANK(OFFSET($AP$2,H163,0)),"",OFFSET($AV$2,H163,0))</f>
        <v/>
      </c>
      <c r="I170" s="2545"/>
      <c r="J170" s="2546" t="str">
        <f ca="1">IF(ISBLANK(OFFSET($AP$2,H163,0)),"",OFFSET($AV$2,H163,0)-OFFSET($BB$2,H163,0))</f>
        <v/>
      </c>
      <c r="K170" s="2547"/>
      <c r="L170" s="2544" t="str">
        <f ca="1">IF(ISBLANK(OFFSET($AP$2,L163,0)),"",OFFSET($AV$2,L163,0))</f>
        <v/>
      </c>
      <c r="M170" s="2545"/>
      <c r="N170" s="2546" t="str">
        <f ca="1">IF(ISBLANK(OFFSET($AP$2,L163,0)),"",OFFSET($AV$2,L163,0)-OFFSET($BB$2,L163,0))</f>
        <v/>
      </c>
      <c r="O170" s="2547"/>
      <c r="P170" s="2544" t="str">
        <f ca="1">IF(ISBLANK(OFFSET($AP$2,P163,0)),"",OFFSET($AV$2,P163,0))</f>
        <v/>
      </c>
      <c r="Q170" s="2545"/>
      <c r="R170" s="2546" t="str">
        <f ca="1">IF(ISBLANK(OFFSET($AP$2,P163,0)),"",OFFSET($AV$2,P163,0)-OFFSET($BB$2,P163,0))</f>
        <v/>
      </c>
      <c r="S170" s="2547"/>
      <c r="T170" s="2544" t="str">
        <f ca="1">IF(ISBLANK(OFFSET($AP$2,T163,0)),"",OFFSET($AV$2,T163,0))</f>
        <v/>
      </c>
      <c r="U170" s="2545"/>
      <c r="V170" s="2546" t="str">
        <f ca="1">IF(ISBLANK(OFFSET($AP$2,T163,0)),"",OFFSET($AV$2,T163,0)-OFFSET($BB$2,T163,0))</f>
        <v/>
      </c>
      <c r="W170" s="2547"/>
      <c r="X170" s="2544" t="str">
        <f ca="1">IF(ISBLANK(OFFSET($AP$2,X163,0)),"",OFFSET($AV$2,X163,0))</f>
        <v/>
      </c>
      <c r="Y170" s="2545"/>
      <c r="Z170" s="2546" t="str">
        <f ca="1">IF(ISBLANK(OFFSET($AP$2,X163,0)),"",OFFSET($AV$2,X163,0)-OFFSET($BB$2,X163,0))</f>
        <v/>
      </c>
      <c r="AA170" s="2547"/>
      <c r="AB170" s="57"/>
    </row>
    <row r="179" ht="12.95" customHeight="1" x14ac:dyDescent="0.2"/>
    <row r="180" ht="12.95" customHeight="1" x14ac:dyDescent="0.2"/>
    <row r="181" ht="12.95" customHeight="1" x14ac:dyDescent="0.2"/>
    <row r="182" ht="12.95" customHeight="1" x14ac:dyDescent="0.2"/>
  </sheetData>
  <sheetProtection algorithmName="SHA-512" hashValue="vH9AeD1X/N9AEnI5F1XA/kZFgKqiepw+jzA3bdYXjSpSWKeW5O6P4zUoUhSbqBQJqfvYm/Ow+ar8YyWk5/tAnQ==" saltValue="wXIiEZqvtwmyLlDb83+OAw=="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922" priority="1" stopIfTrue="1" operator="equal">
      <formula>0</formula>
    </cfRule>
    <cfRule type="expression" dxfId="921" priority="2" stopIfTrue="1">
      <formula>ISBLANK(OFFSET($AP$2,$H22,0))</formula>
    </cfRule>
  </conditionalFormatting>
  <conditionalFormatting sqref="L25:O25 L33:O33 L41:O41 L49:O49 L68:O68 L76:O76 L84:O84 L92:O92 L100:O100 L108:O108 L126:O126 L134:O134 L142:O142 L150:O150 L158:O158 L166:O166">
    <cfRule type="cellIs" dxfId="920" priority="3" stopIfTrue="1" operator="equal">
      <formula>0</formula>
    </cfRule>
    <cfRule type="expression" dxfId="919" priority="4" stopIfTrue="1">
      <formula>ISBLANK(OFFSET($AP$2,$L22,0))</formula>
    </cfRule>
  </conditionalFormatting>
  <conditionalFormatting sqref="P25:S25 P33:S33 P41:S41 P49:S49 P68:S68 P76:S76 P84:S84 P92:S92 P100:S100 P108:S108 P126:S126 P134:S134 P142:S142 P150:S150 P158:S158 P166:S166">
    <cfRule type="cellIs" dxfId="918" priority="5" stopIfTrue="1" operator="equal">
      <formula>0</formula>
    </cfRule>
    <cfRule type="expression" dxfId="917" priority="6" stopIfTrue="1">
      <formula>ISBLANK(OFFSET($AP$2,$P22,0))</formula>
    </cfRule>
  </conditionalFormatting>
  <conditionalFormatting sqref="T25:W25 T33:W33 T41:W41 T49:W49 T68:W68 T76:W76 T84:W84 T92:W92 T100:W100 T108:W108 T126:W126 T134:W134 T142:W142 T150:W150 T158:W158 T166:W166">
    <cfRule type="cellIs" dxfId="916" priority="7" stopIfTrue="1" operator="equal">
      <formula>0</formula>
    </cfRule>
    <cfRule type="expression" dxfId="91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914" priority="9" stopIfTrue="1" operator="equal">
      <formula>0</formula>
    </cfRule>
    <cfRule type="expression" dxfId="913" priority="10" stopIfTrue="1">
      <formula>ISBLANK(OFFSET($AP$2,$X22,0))</formula>
    </cfRule>
  </conditionalFormatting>
  <conditionalFormatting sqref="H26:K26 H34:K34 H42:K42 H50:K50 H69:K69 H77:K77 H85:K85 H93:K93 H101:K101 H109:K109 H127:K127 H135:K135 H143:K143 H151:K151 H159:K159 H167:K167">
    <cfRule type="cellIs" dxfId="912" priority="11" stopIfTrue="1" operator="equal">
      <formula>0</formula>
    </cfRule>
    <cfRule type="expression" dxfId="911" priority="12" stopIfTrue="1">
      <formula>ISBLANK(OFFSET($AP$2,$H22,0))</formula>
    </cfRule>
  </conditionalFormatting>
  <conditionalFormatting sqref="L26:O26 L34:O34 L42:O42 L50:O50 L69:O69 L77:O77 L85:O85 L93:O93 L101:O101 L109:O109 L127:O127 L135:O135 L143:O143 L151:O151 L159:O159 L167:O167">
    <cfRule type="cellIs" dxfId="910" priority="13" stopIfTrue="1" operator="equal">
      <formula>0</formula>
    </cfRule>
    <cfRule type="expression" dxfId="909" priority="14" stopIfTrue="1">
      <formula>ISBLANK(OFFSET($AP$2,$L22,0))</formula>
    </cfRule>
  </conditionalFormatting>
  <conditionalFormatting sqref="P26:S26 P34:S34 P42:S42 P50:S50 P69:S69 P77:S77 P85:S85 P93:S93 P101:S101 P109:S109 P127:S127 P135:S135 P143:S143 P151:S151 P159:S159 P167:S167">
    <cfRule type="cellIs" dxfId="908" priority="15" stopIfTrue="1" operator="equal">
      <formula>0</formula>
    </cfRule>
    <cfRule type="expression" dxfId="907" priority="16" stopIfTrue="1">
      <formula>ISBLANK(OFFSET($AP$2,$P22,0))</formula>
    </cfRule>
  </conditionalFormatting>
  <conditionalFormatting sqref="T26:W26 T34:W34 T42:W42 T50:W50 T69:W69 T77:W77 T85:W85 T93:W93 T101:W101 T109:W109 T127:W127 T135:W135 T143:W143 T151:W151 T159:W159 T167:W167">
    <cfRule type="cellIs" dxfId="906" priority="17" stopIfTrue="1" operator="equal">
      <formula>0</formula>
    </cfRule>
    <cfRule type="expression" dxfId="90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904" priority="19" stopIfTrue="1" operator="equal">
      <formula>0</formula>
    </cfRule>
    <cfRule type="expression" dxfId="903" priority="20" stopIfTrue="1">
      <formula>ISBLANK(OFFSET($AP$2,$X22,0))</formula>
    </cfRule>
  </conditionalFormatting>
  <conditionalFormatting sqref="H23:K23 H31:K31 H39:K39 H47:K47 H66:K66 H74:K74 H82:K82 H90:K90 H98:K98 H106:K106 H124:K124 H132:K132 H140:K140 H148:K148 H156:K156 H164:K164">
    <cfRule type="cellIs" dxfId="902" priority="21" stopIfTrue="1" operator="equal">
      <formula>0</formula>
    </cfRule>
    <cfRule type="expression" dxfId="901" priority="22" stopIfTrue="1">
      <formula>ISBLANK(OFFSET($AP$2,$H22,0))</formula>
    </cfRule>
  </conditionalFormatting>
  <conditionalFormatting sqref="H24:K24 H32:K32 H40:K40 H48:K48 H67:K67 H75:K75 H83:K83 H91:K91 H99:K99 H107:K107 H125:K125 H133:K133 H141:K141 H149:K149 H157:K157 H165:K165">
    <cfRule type="cellIs" dxfId="900" priority="23" stopIfTrue="1" operator="equal">
      <formula>0</formula>
    </cfRule>
    <cfRule type="expression" dxfId="899" priority="24" stopIfTrue="1">
      <formula>ISBLANK(OFFSET($AP$2,$H22,0))</formula>
    </cfRule>
  </conditionalFormatting>
  <conditionalFormatting sqref="L23:O23 L31:O31 L39:O39 L47:O47 L66:O66 L74:O74 L82:O82 L90:O90 L98:O98 L106:O106 L124:O124 L132:O132 L140:O140 L148:O148 L156:O156 L164:O164">
    <cfRule type="cellIs" dxfId="898" priority="25" stopIfTrue="1" operator="equal">
      <formula>0</formula>
    </cfRule>
    <cfRule type="expression" dxfId="897" priority="26" stopIfTrue="1">
      <formula>ISBLANK(OFFSET($AP$2,$L22,0))</formula>
    </cfRule>
  </conditionalFormatting>
  <conditionalFormatting sqref="L24:O24 L32:O32 L40:O40 L48:O48 L67:O67 L75:O75 L83:O83 L91:O91 L99:O99 L107:O107 L125:O125 L133:O133 L141:O141 L149:O149 L157:O157 L165:O165">
    <cfRule type="cellIs" dxfId="896" priority="27" stopIfTrue="1" operator="equal">
      <formula>0</formula>
    </cfRule>
    <cfRule type="expression" dxfId="895" priority="28" stopIfTrue="1">
      <formula>ISBLANK(OFFSET($AP$2,$L22,0))</formula>
    </cfRule>
  </conditionalFormatting>
  <conditionalFormatting sqref="P23:S23 P31:S31 P39:S39 P47:S47 P66:S66 P74:S74 P82:S82 P90:S90 P98:S98 P106:S106 P124:S124 P132:S132 P140:S140 P148:S148 P156:S156 P164:S164">
    <cfRule type="cellIs" dxfId="894" priority="29" stopIfTrue="1" operator="equal">
      <formula>0</formula>
    </cfRule>
    <cfRule type="expression" dxfId="893" priority="30" stopIfTrue="1">
      <formula>ISBLANK(OFFSET($AP$2,$P22,0))</formula>
    </cfRule>
  </conditionalFormatting>
  <conditionalFormatting sqref="P24:S24 P32:S32 P40:S40 P48:S48 P67:S67 P75:S75 P83:S83 P91:S91 P99:S99 P107:S107 P125:S125 P133:S133 P141:S141 P149:S149 P157:S157 P165:S165">
    <cfRule type="cellIs" dxfId="892" priority="31" stopIfTrue="1" operator="equal">
      <formula>0</formula>
    </cfRule>
    <cfRule type="expression" dxfId="891" priority="32" stopIfTrue="1">
      <formula>ISBLANK(OFFSET($AP$2,$P22,0))</formula>
    </cfRule>
  </conditionalFormatting>
  <conditionalFormatting sqref="T23:W23 T31:W31 T39:W39 T47:W47 T66:W66 T74:W74 T82:W82 T90:W90 T98:W98 T106:W106 T124:W124 T132:W132 T140:W140 T148:W148 T156:W156 T164:W164">
    <cfRule type="cellIs" dxfId="890" priority="33" stopIfTrue="1" operator="equal">
      <formula>0</formula>
    </cfRule>
    <cfRule type="expression" dxfId="889" priority="34" stopIfTrue="1">
      <formula>ISBLANK(OFFSET($AP$2,$T22,0))</formula>
    </cfRule>
  </conditionalFormatting>
  <conditionalFormatting sqref="T24:W24 T32:W32 T40:W40 T48:W48 T67:W67 T75:W75 T83:W83 T91:W91 T99:W99 T107:W107 T125:W125 T133:W133 T141:W141 T149:W149 T157:W157 T165:W165">
    <cfRule type="cellIs" dxfId="888" priority="35" stopIfTrue="1" operator="equal">
      <formula>0</formula>
    </cfRule>
    <cfRule type="expression" dxfId="88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886" priority="37" stopIfTrue="1" operator="equal">
      <formula>0</formula>
    </cfRule>
    <cfRule type="expression" dxfId="88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884" priority="39" stopIfTrue="1" operator="equal">
      <formula>0</formula>
    </cfRule>
    <cfRule type="expression" dxfId="883" priority="40" stopIfTrue="1">
      <formula>ISBLANK(OFFSET($AP$2,$X22,0))</formula>
    </cfRule>
  </conditionalFormatting>
  <conditionalFormatting sqref="H27:K27 H35:K35 H43:K43 H51:K51 H70:K70 H78:K78 H86:K86 H94:K94 H102:K102 H110:K110 H128:K128 H136:K136 H144:K144 H152:K152 H160:K160 H168:K168">
    <cfRule type="cellIs" dxfId="882" priority="41" stopIfTrue="1" operator="equal">
      <formula>0</formula>
    </cfRule>
    <cfRule type="expression" dxfId="881" priority="42" stopIfTrue="1">
      <formula>ISBLANK(OFFSET($AP$2,$H22,0))</formula>
    </cfRule>
  </conditionalFormatting>
  <conditionalFormatting sqref="L27:O27 L35:O35 L43:O43 L51:O51 L70:O70 L78:O78 L86:O86 L94:O94 L102:O102 L110:O110 L128:O128 L136:O136 L144:O144 L152:O152 L160:O160 L168:O168">
    <cfRule type="cellIs" dxfId="880" priority="43" stopIfTrue="1" operator="equal">
      <formula>0</formula>
    </cfRule>
    <cfRule type="expression" dxfId="879" priority="44" stopIfTrue="1">
      <formula>ISBLANK(OFFSET($AP$2,$L22,0))</formula>
    </cfRule>
  </conditionalFormatting>
  <conditionalFormatting sqref="P27:S27 P35:S35 P43:S43 P51:S51 P70:S70 P78:S78 P86:S86 P94:S94 P102:S102 P110:S110 P128:S128 P136:S136 P144:S144 P152:S152 P160:S160 P168:S168">
    <cfRule type="cellIs" dxfId="878" priority="45" stopIfTrue="1" operator="equal">
      <formula>0</formula>
    </cfRule>
    <cfRule type="expression" dxfId="877" priority="46" stopIfTrue="1">
      <formula>ISBLANK(OFFSET($AP$2,$P22,0))</formula>
    </cfRule>
  </conditionalFormatting>
  <conditionalFormatting sqref="T27:W27 T35:W35 T43:W43 T51:W51 T70:W70 T78:W78 T86:W86 T94:W94 T102:W102 T110:W110 T128:W128 T136:W136 T144:W144 T152:W152 T160:W160 T168:W168">
    <cfRule type="cellIs" dxfId="876" priority="47" stopIfTrue="1" operator="equal">
      <formula>0</formula>
    </cfRule>
    <cfRule type="expression" dxfId="87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874" priority="49" stopIfTrue="1" operator="equal">
      <formula>0</formula>
    </cfRule>
    <cfRule type="expression" dxfId="873" priority="50" stopIfTrue="1">
      <formula>ISBLANK(OFFSET($AP$2,$X22,0))</formula>
    </cfRule>
  </conditionalFormatting>
  <conditionalFormatting sqref="H28:K28 H36:K36 H44:K44 H52:K52 H71:K71 H79:K79 H87:K87 H95:K95 H103:K103 H111:K111 H129:K129 H137:K137 H145:K145 H153:K153 H161:K161 H169:K169">
    <cfRule type="cellIs" dxfId="872" priority="51" stopIfTrue="1" operator="equal">
      <formula>0</formula>
    </cfRule>
    <cfRule type="expression" dxfId="871" priority="52" stopIfTrue="1">
      <formula>ISBLANK(OFFSET($AP$2,$H22,0))</formula>
    </cfRule>
  </conditionalFormatting>
  <conditionalFormatting sqref="H29:K29 H37:K37 H45:K45 H53:K53 H72:K72 H80:K80 H88:K88 H96:K96 H104:K104 H112:K112 H130:K130 H138:K138 H146:K146 H154:K154 H162:K162 H170:K170">
    <cfRule type="cellIs" dxfId="870" priority="53" stopIfTrue="1" operator="equal">
      <formula>0</formula>
    </cfRule>
    <cfRule type="expression" dxfId="869" priority="54" stopIfTrue="1">
      <formula>ISBLANK(OFFSET($AP$2,$H22,0))</formula>
    </cfRule>
  </conditionalFormatting>
  <conditionalFormatting sqref="L28:O28 L36:O36 L44:O44 L52:O52 L71:O71 L79:O79 L87:O87 L95:O95 L103:O103 L111:O111 L129:O129 L137:O137 L145:O145 L153:O153 L161:O161 L169:O169">
    <cfRule type="cellIs" dxfId="868" priority="55" stopIfTrue="1" operator="equal">
      <formula>0</formula>
    </cfRule>
    <cfRule type="expression" dxfId="867" priority="56" stopIfTrue="1">
      <formula>ISBLANK(OFFSET($AP$2,$L22,0))</formula>
    </cfRule>
  </conditionalFormatting>
  <conditionalFormatting sqref="L29:O29 L37:O37 L45:O45 L53:O53 L72:O72 L80:O80 L88:O88 L96:O96 L104:O104 L112:O112 L130:O130 L138:O138 L146:O146 L154:O154 L162:O162 L170:O170">
    <cfRule type="cellIs" dxfId="866" priority="57" stopIfTrue="1" operator="equal">
      <formula>0</formula>
    </cfRule>
    <cfRule type="expression" dxfId="865" priority="58" stopIfTrue="1">
      <formula>ISBLANK(OFFSET($AP$2,$L22,0))</formula>
    </cfRule>
  </conditionalFormatting>
  <conditionalFormatting sqref="P28:S28 P36:S36 P44:S44 P52:S52 P71:S71 P79:S79 P87:S87 P95:S95 P103:S103 P111:S111 P129:S129 P137:S137 P145:S145 P153:S153 P161:S161 P169:S169">
    <cfRule type="cellIs" dxfId="864" priority="59" stopIfTrue="1" operator="equal">
      <formula>0</formula>
    </cfRule>
    <cfRule type="expression" dxfId="863" priority="60" stopIfTrue="1">
      <formula>ISBLANK(OFFSET($AP$2,$P22,0))</formula>
    </cfRule>
  </conditionalFormatting>
  <conditionalFormatting sqref="P29:S29 P37:S37 P45:S45 P53:S53 P72:S72 P80:S80 P88:S88 P96:S96 P104:S104 P112:S112 P130:S130 P138:S138 P146:S146 P154:S154 P162:S162 P170:S170">
    <cfRule type="cellIs" dxfId="862" priority="61" stopIfTrue="1" operator="equal">
      <formula>0</formula>
    </cfRule>
    <cfRule type="expression" dxfId="861" priority="62" stopIfTrue="1">
      <formula>ISBLANK(OFFSET($AP$2,$P22,0))</formula>
    </cfRule>
  </conditionalFormatting>
  <conditionalFormatting sqref="T28:W28 T36:W36 T44:W44 T52:W52 T71:W71 T79:W79 T87:W87 T95:W95 T103:W103 T111:W111 T129:W129 T137:W137 T145:W145 T153:W153 T161:W161 T169:W169">
    <cfRule type="cellIs" dxfId="860" priority="63" stopIfTrue="1" operator="equal">
      <formula>0</formula>
    </cfRule>
    <cfRule type="expression" dxfId="859" priority="64" stopIfTrue="1">
      <formula>ISBLANK(OFFSET($AP$2,$T22,0))</formula>
    </cfRule>
  </conditionalFormatting>
  <conditionalFormatting sqref="T29:W29 T37:W37 T45:W45 T53:W53 T72:W72 T80:W80 T88:W88 T96:W96 T104:W104 T112:W112 T130:W130 T138:W138 T146:W146 T154:W154 T162:W162 T170:W170">
    <cfRule type="cellIs" dxfId="858" priority="65" stopIfTrue="1" operator="equal">
      <formula>0</formula>
    </cfRule>
    <cfRule type="expression" dxfId="85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856" priority="67" stopIfTrue="1" operator="equal">
      <formula>0</formula>
    </cfRule>
    <cfRule type="expression" dxfId="85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854" priority="69" stopIfTrue="1" operator="equal">
      <formula>0</formula>
    </cfRule>
    <cfRule type="expression" dxfId="853" priority="70" stopIfTrue="1">
      <formula>ISBLANK(OFFSET($AP$2,$X22,0))</formula>
    </cfRule>
  </conditionalFormatting>
  <conditionalFormatting sqref="D166:G166 D33:G33 D41:G41 D49:G49 D68:G68 D76:G76 D84:G84 D92:G92 D100:G100 D108:G108 D126:G126 D134:G134 D142:G142 D150:G150 D158:G158">
    <cfRule type="cellIs" dxfId="852" priority="71" stopIfTrue="1" operator="equal">
      <formula>0</formula>
    </cfRule>
    <cfRule type="expression" dxfId="851" priority="72" stopIfTrue="1">
      <formula>ISBLANK(OFFSET($AP$2,$D30,0))</formula>
    </cfRule>
  </conditionalFormatting>
  <conditionalFormatting sqref="D167:G167 D34:G34 D42:G42 D50:G50 D69:G69 D77:G77 D85:G85 D93:G93 D101:G101 D109:G109 D127:G127 D135:G135 D143:G143 D151:G151 D159:G159">
    <cfRule type="cellIs" dxfId="850" priority="73" stopIfTrue="1" operator="equal">
      <formula>0</formula>
    </cfRule>
    <cfRule type="expression" dxfId="849" priority="74" stopIfTrue="1">
      <formula>ISBLANK(OFFSET($AP$2,$D30,0))</formula>
    </cfRule>
  </conditionalFormatting>
  <conditionalFormatting sqref="D164:G164 D31:G31 D39:G39 D47:G47 D66:G66 D74:G74 D82:G82 D90:G90 D98:G98 D106:G106 D124:G124 D132:G132 D140:G140 D148:G148 D156:G156">
    <cfRule type="cellIs" dxfId="848" priority="75" stopIfTrue="1" operator="equal">
      <formula>0</formula>
    </cfRule>
    <cfRule type="expression" dxfId="847" priority="76" stopIfTrue="1">
      <formula>ISBLANK(OFFSET($AP$2,$D30,0))</formula>
    </cfRule>
  </conditionalFormatting>
  <conditionalFormatting sqref="D165:G165 D32:G32 D40:G40 D48:G48 D67:G67 D75:G75 D83:G83 D91:G91 D99:G99 D107:G107 D125:G125 D133:G133 D141:G141 D149:G149 D157:G157">
    <cfRule type="cellIs" dxfId="846" priority="77" stopIfTrue="1" operator="equal">
      <formula>0</formula>
    </cfRule>
    <cfRule type="expression" dxfId="845" priority="78" stopIfTrue="1">
      <formula>ISBLANK(OFFSET($AP$2,$D30,0))</formula>
    </cfRule>
  </conditionalFormatting>
  <conditionalFormatting sqref="D168:G168 D35:G35 D43:G43 D51:G51 D70:G70 D78:G78 D86:G86 D94:G94 D102:G102 D110:G110 D128:G128 D136:G136 D144:G144 D152:G152 D160:G160">
    <cfRule type="cellIs" dxfId="844" priority="79" stopIfTrue="1" operator="equal">
      <formula>0</formula>
    </cfRule>
    <cfRule type="expression" dxfId="843" priority="80" stopIfTrue="1">
      <formula>ISBLANK(OFFSET($AP$2,$D30,0))</formula>
    </cfRule>
  </conditionalFormatting>
  <conditionalFormatting sqref="D169:G169 D36:G36 D44:G44 D52:G52 D71:G71 D79:G79 D87:G87 D95:G95 D103:G103 D111:G111 D129:G129 D137:G137 D145:G145 D153:G153 D161:G161">
    <cfRule type="cellIs" dxfId="842" priority="81" stopIfTrue="1" operator="equal">
      <formula>0</formula>
    </cfRule>
    <cfRule type="expression" dxfId="841" priority="82" stopIfTrue="1">
      <formula>ISBLANK(OFFSET($AP$2,$D30,0))</formula>
    </cfRule>
  </conditionalFormatting>
  <conditionalFormatting sqref="D170:G170 D37:G37 D45:G45 D53:G53 D72:G72 D80:G80 D88:G88 D96:G96 D104:G104 D112:G112 D130:G130 D138:G138 D146:G146 D154:G154 D162:G162">
    <cfRule type="cellIs" dxfId="840" priority="83" stopIfTrue="1" operator="equal">
      <formula>0</formula>
    </cfRule>
    <cfRule type="expression" dxfId="839" priority="84" stopIfTrue="1">
      <formula>ISBLANK(OFFSET($AP$2,$D30,0))</formula>
    </cfRule>
  </conditionalFormatting>
  <conditionalFormatting sqref="N2:R4">
    <cfRule type="cellIs" dxfId="838" priority="85" stopIfTrue="1" operator="equal">
      <formula>""</formula>
    </cfRule>
  </conditionalFormatting>
  <conditionalFormatting sqref="B33:C37">
    <cfRule type="expression" dxfId="837" priority="86" stopIfTrue="1">
      <formula>ISBLANK($AP$9)</formula>
    </cfRule>
  </conditionalFormatting>
  <conditionalFormatting sqref="B41:C45">
    <cfRule type="expression" dxfId="836" priority="87" stopIfTrue="1">
      <formula>ISBLANK($AP$15)</formula>
    </cfRule>
  </conditionalFormatting>
  <conditionalFormatting sqref="B49:C53">
    <cfRule type="expression" dxfId="835" priority="88" stopIfTrue="1">
      <formula>ISBLANK($AP$21)</formula>
    </cfRule>
  </conditionalFormatting>
  <conditionalFormatting sqref="B68:C72">
    <cfRule type="expression" dxfId="834" priority="89" stopIfTrue="1">
      <formula>ISBLANK($AP$27)</formula>
    </cfRule>
  </conditionalFormatting>
  <conditionalFormatting sqref="B76:C80">
    <cfRule type="expression" dxfId="833" priority="90" stopIfTrue="1">
      <formula>ISBLANK($AP$33)</formula>
    </cfRule>
  </conditionalFormatting>
  <conditionalFormatting sqref="B84:C88">
    <cfRule type="expression" dxfId="832" priority="91" stopIfTrue="1">
      <formula>ISBLANK($AP$39)</formula>
    </cfRule>
  </conditionalFormatting>
  <conditionalFormatting sqref="B92:C96">
    <cfRule type="expression" dxfId="831" priority="92" stopIfTrue="1">
      <formula>ISBLANK($AP$45)</formula>
    </cfRule>
  </conditionalFormatting>
  <conditionalFormatting sqref="B100:C104">
    <cfRule type="expression" dxfId="830" priority="93" stopIfTrue="1">
      <formula>ISBLANK($AP$51)</formula>
    </cfRule>
  </conditionalFormatting>
  <conditionalFormatting sqref="B108:C112">
    <cfRule type="expression" dxfId="829" priority="94" stopIfTrue="1">
      <formula>ISBLANK($AP$57)</formula>
    </cfRule>
  </conditionalFormatting>
  <conditionalFormatting sqref="B166:C170">
    <cfRule type="expression" dxfId="828" priority="95" stopIfTrue="1">
      <formula>ISBLANK($AP$93)</formula>
    </cfRule>
  </conditionalFormatting>
  <conditionalFormatting sqref="B158:C162">
    <cfRule type="expression" dxfId="827" priority="96" stopIfTrue="1">
      <formula>ISBLANK($AP$87)</formula>
    </cfRule>
  </conditionalFormatting>
  <conditionalFormatting sqref="B150:C154">
    <cfRule type="expression" dxfId="826" priority="97" stopIfTrue="1">
      <formula>ISBLANK($AP$81)</formula>
    </cfRule>
  </conditionalFormatting>
  <conditionalFormatting sqref="B142:C146">
    <cfRule type="expression" dxfId="825" priority="98" stopIfTrue="1">
      <formula>ISBLANK($AP$75)</formula>
    </cfRule>
  </conditionalFormatting>
  <conditionalFormatting sqref="B134:C138">
    <cfRule type="expression" dxfId="824" priority="99" stopIfTrue="1">
      <formula>ISBLANK($AP$69)</formula>
    </cfRule>
  </conditionalFormatting>
  <conditionalFormatting sqref="B126:C130">
    <cfRule type="expression" dxfId="823" priority="100" stopIfTrue="1">
      <formula>ISBLANK($AP$63)</formula>
    </cfRule>
  </conditionalFormatting>
  <conditionalFormatting sqref="D25:G29">
    <cfRule type="cellIs" dxfId="82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821" priority="39" stopIfTrue="1">
      <formula>AND(M3&lt;&gt;"",G3="")</formula>
    </cfRule>
  </conditionalFormatting>
  <conditionalFormatting sqref="J3:J498">
    <cfRule type="expression" dxfId="820" priority="40" stopIfTrue="1">
      <formula>AND(M3="C",J3="")</formula>
    </cfRule>
  </conditionalFormatting>
  <conditionalFormatting sqref="H3:H498">
    <cfRule type="expression" dxfId="819" priority="2" stopIfTrue="1">
      <formula>AND(H3="",M3="C")</formula>
    </cfRule>
    <cfRule type="expression" dxfId="818" priority="45" stopIfTrue="1">
      <formula>AND(H3="",OR(M3="B",M3="G"))</formula>
    </cfRule>
  </conditionalFormatting>
  <conditionalFormatting sqref="I3:I498">
    <cfRule type="expression" dxfId="817" priority="46" stopIfTrue="1">
      <formula>AND(H3&lt;&gt;"",I3="")</formula>
    </cfRule>
  </conditionalFormatting>
  <conditionalFormatting sqref="K3:K498">
    <cfRule type="expression" dxfId="816" priority="3" stopIfTrue="1">
      <formula>AND(M3="C",K3="")</formula>
    </cfRule>
    <cfRule type="expression" dxfId="815" priority="47" stopIfTrue="1">
      <formula>AND(M3="C",K3="")</formula>
    </cfRule>
  </conditionalFormatting>
  <conditionalFormatting sqref="L3:L498">
    <cfRule type="expression" dxfId="814" priority="48" stopIfTrue="1">
      <formula>AND(M3="C",L3="",K3&lt;&gt;"")</formula>
    </cfRule>
  </conditionalFormatting>
  <conditionalFormatting sqref="C3:C498">
    <cfRule type="expression" dxfId="813" priority="18" stopIfTrue="1">
      <formula>AND(NOT(ISBLANK(B3)),ISBLANK(C3))</formula>
    </cfRule>
  </conditionalFormatting>
  <conditionalFormatting sqref="E3:E498">
    <cfRule type="expression" dxfId="812" priority="41" stopIfTrue="1">
      <formula>AND(NOT(ISBLANK(C3)),ISBLANK(E3))</formula>
    </cfRule>
  </conditionalFormatting>
  <conditionalFormatting sqref="D3:D498">
    <cfRule type="expression" dxfId="811" priority="43" stopIfTrue="1">
      <formula>AND(NOT(ISBLANK(C3)),ISBLANK(D3))</formula>
    </cfRule>
  </conditionalFormatting>
  <conditionalFormatting sqref="B3:L498">
    <cfRule type="expression" dxfId="81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18" t="s">
        <v>1182</v>
      </c>
      <c r="AG1" s="1888"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19"/>
      <c r="AG2" s="1890"/>
      <c r="AI2" s="1019" t="s">
        <v>598</v>
      </c>
      <c r="AJ2" s="1027" t="s">
        <v>1122</v>
      </c>
      <c r="AK2" s="1020"/>
      <c r="AL2" s="1020"/>
      <c r="AM2" s="1020"/>
      <c r="AN2" s="1020"/>
      <c r="AO2" s="1020"/>
      <c r="AR2" s="257" t="s">
        <v>1383</v>
      </c>
    </row>
    <row r="3" spans="2:49" ht="14.25" thickTop="1" thickBot="1" x14ac:dyDescent="0.25">
      <c r="C3" s="12" t="s">
        <v>66</v>
      </c>
      <c r="D3" s="2622" t="s">
        <v>1606</v>
      </c>
      <c r="E3" s="2623"/>
      <c r="G3" s="2626" t="s">
        <v>569</v>
      </c>
      <c r="H3" s="2627"/>
      <c r="I3" s="2627"/>
      <c r="J3" s="2627"/>
      <c r="K3" s="2627"/>
      <c r="L3" s="2627"/>
      <c r="M3" s="2627"/>
      <c r="N3" s="2627"/>
      <c r="O3" s="2628"/>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24" t="s">
        <v>1607</v>
      </c>
      <c r="E4" s="2625"/>
      <c r="G4" s="2635" t="s">
        <v>570</v>
      </c>
      <c r="H4" s="2629" t="s">
        <v>577</v>
      </c>
      <c r="I4" s="2629" t="s">
        <v>571</v>
      </c>
      <c r="J4" s="2629" t="s">
        <v>572</v>
      </c>
      <c r="K4" s="2629" t="s">
        <v>580</v>
      </c>
      <c r="L4" s="2629" t="s">
        <v>573</v>
      </c>
      <c r="M4" s="2629" t="s">
        <v>574</v>
      </c>
      <c r="N4" s="2629" t="s">
        <v>942</v>
      </c>
      <c r="O4" s="2632"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24" t="s">
        <v>1608</v>
      </c>
      <c r="E5" s="2625"/>
      <c r="G5" s="2636"/>
      <c r="H5" s="2630"/>
      <c r="I5" s="2630"/>
      <c r="J5" s="2630"/>
      <c r="K5" s="2630"/>
      <c r="L5" s="2630"/>
      <c r="M5" s="2630"/>
      <c r="N5" s="2630"/>
      <c r="O5" s="2633"/>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24" t="s">
        <v>1609</v>
      </c>
      <c r="E6" s="2625"/>
      <c r="G6" s="2637"/>
      <c r="H6" s="2631"/>
      <c r="I6" s="2631"/>
      <c r="J6" s="2631"/>
      <c r="K6" s="2631"/>
      <c r="L6" s="2631"/>
      <c r="M6" s="2631"/>
      <c r="N6" s="2631"/>
      <c r="O6" s="2634"/>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24" t="s">
        <v>1610</v>
      </c>
      <c r="E7" s="2625"/>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40">
        <v>45048</v>
      </c>
      <c r="E8" s="2641"/>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24">
        <v>19</v>
      </c>
      <c r="E9" s="2625"/>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44"/>
      <c r="E10" s="2645"/>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42" t="str">
        <f ca="1">IF(P34=0,"",OFFSET(R33,1+((P34-1)*6),0))</f>
        <v>8200 Woolery Way | Fallon, NV 89406 | www.newmill.com</v>
      </c>
      <c r="E11" s="2643"/>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49" t="str">
        <f ca="1">IF(P34=0,"",OFFSET(R33,2+((P34-1)*6),0))</f>
        <v>775-428-0600</v>
      </c>
      <c r="E12" s="2650"/>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49" t="str">
        <f ca="1">IF(P34=0,"",OFFSET(R33,3+((P34-1)*6),0))</f>
        <v>775-867-2140</v>
      </c>
      <c r="E13" s="2650"/>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49" t="str">
        <f ca="1">IF(P34=0,"",OFFSET(R33,4+((P34-1)*6),0))</f>
        <v>775-867-2169</v>
      </c>
      <c r="E14" s="2650"/>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38" t="str">
        <f ca="1">IF(P34=0,"",OFFSET(R33,5+((P34-1)*6),0))</f>
        <v>775-867-2060</v>
      </c>
      <c r="E15" s="2639"/>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46" t="s">
        <v>1108</v>
      </c>
      <c r="H18" s="2647"/>
      <c r="I18" s="2647"/>
      <c r="J18" s="2647"/>
      <c r="K18" s="2647"/>
      <c r="L18" s="2647"/>
      <c r="M18" s="2648"/>
      <c r="X18" s="85"/>
      <c r="Z18" s="84"/>
      <c r="AC18" s="1213" t="str">
        <f t="shared" si="0"/>
        <v/>
      </c>
      <c r="AD18" s="1204" t="str">
        <f t="shared" si="1"/>
        <v/>
      </c>
      <c r="AE18" s="1205" t="str">
        <f t="shared" si="2"/>
        <v/>
      </c>
      <c r="AF18" s="1206"/>
      <c r="AG18" s="1207"/>
    </row>
    <row r="19" spans="3:33" ht="13.5" thickBot="1" x14ac:dyDescent="0.25">
      <c r="G19" s="2620" t="s">
        <v>650</v>
      </c>
      <c r="H19" s="2621"/>
      <c r="I19" s="2621"/>
      <c r="J19" s="2621"/>
      <c r="K19" s="2621"/>
      <c r="L19" s="977">
        <v>0.375</v>
      </c>
      <c r="M19" s="978" t="s">
        <v>576</v>
      </c>
      <c r="Z19" s="84"/>
      <c r="AC19" s="1213" t="str">
        <f t="shared" si="0"/>
        <v/>
      </c>
      <c r="AD19" s="1204" t="str">
        <f t="shared" si="1"/>
        <v/>
      </c>
      <c r="AE19" s="1205" t="str">
        <f t="shared" si="2"/>
        <v/>
      </c>
      <c r="AF19" s="1206"/>
      <c r="AG19" s="1207"/>
    </row>
    <row r="20" spans="3:33" ht="13.5" thickBot="1" x14ac:dyDescent="0.25">
      <c r="G20" s="2620" t="s">
        <v>653</v>
      </c>
      <c r="H20" s="2621"/>
      <c r="I20" s="2621"/>
      <c r="J20" s="2621"/>
      <c r="K20" s="2621"/>
      <c r="L20" s="979">
        <v>0.1875</v>
      </c>
      <c r="M20" s="633"/>
      <c r="AC20" s="1213" t="str">
        <f t="shared" si="0"/>
        <v/>
      </c>
      <c r="AD20" s="1204" t="str">
        <f t="shared" si="1"/>
        <v/>
      </c>
      <c r="AE20" s="1205" t="str">
        <f t="shared" si="2"/>
        <v/>
      </c>
      <c r="AF20" s="1206"/>
      <c r="AG20" s="1207"/>
    </row>
    <row r="21" spans="3:33" ht="13.5" thickBot="1" x14ac:dyDescent="0.25">
      <c r="G21" s="2620" t="s">
        <v>651</v>
      </c>
      <c r="H21" s="2621"/>
      <c r="I21" s="2621"/>
      <c r="J21" s="2621"/>
      <c r="K21" s="2621"/>
      <c r="L21" s="979">
        <v>0.5</v>
      </c>
      <c r="M21" s="633"/>
      <c r="AC21" s="1213" t="str">
        <f t="shared" si="0"/>
        <v/>
      </c>
      <c r="AD21" s="1204" t="str">
        <f t="shared" si="1"/>
        <v/>
      </c>
      <c r="AE21" s="1205" t="str">
        <f t="shared" si="2"/>
        <v/>
      </c>
      <c r="AF21" s="1206"/>
      <c r="AG21" s="1207"/>
    </row>
    <row r="22" spans="3:33" ht="13.5" thickBot="1" x14ac:dyDescent="0.25">
      <c r="G22" s="2620" t="s">
        <v>652</v>
      </c>
      <c r="H22" s="2621"/>
      <c r="I22" s="2621"/>
      <c r="J22" s="2621"/>
      <c r="K22" s="2621"/>
      <c r="L22" s="979">
        <v>0.25</v>
      </c>
      <c r="M22" s="633"/>
      <c r="AC22" s="1213" t="str">
        <f t="shared" si="0"/>
        <v/>
      </c>
      <c r="AD22" s="1204" t="str">
        <f t="shared" si="1"/>
        <v/>
      </c>
      <c r="AE22" s="1205" t="str">
        <f t="shared" si="2"/>
        <v/>
      </c>
      <c r="AF22" s="1206"/>
      <c r="AG22" s="1207"/>
    </row>
    <row r="23" spans="3:33" ht="13.5" thickBot="1" x14ac:dyDescent="0.25">
      <c r="G23" s="2620" t="s">
        <v>1109</v>
      </c>
      <c r="H23" s="2621"/>
      <c r="I23" s="2621"/>
      <c r="J23" s="2621"/>
      <c r="K23" s="2621"/>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VT5x7234+Vq0t6hA6rvR8RodTAMPA7J20P7AuF/8lSqzQV5KX6GR//NLfXK3t6gnbeRYPzzxUF2hCOBX4VHUgQ==" saltValue="e5rZA7PpvBp6Fli7KCLrVw==" spinCount="100000" sheet="1" objects="1" scenarios="1" selectLockedCells="1"/>
  <dataConsolidate link="1"/>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809" priority="2" stopIfTrue="1">
      <formula>AD2&lt;&gt;""</formula>
    </cfRule>
  </conditionalFormatting>
  <conditionalFormatting sqref="AC2:AD301">
    <cfRule type="cellIs" dxfId="808" priority="3" stopIfTrue="1" operator="notEqual">
      <formula>""</formula>
    </cfRule>
  </conditionalFormatting>
  <conditionalFormatting sqref="AF3:AG302">
    <cfRule type="expression" dxfId="80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autoFill="0" autoLine="0" linkedCell="U10" r:id="rId5">
            <anchor>
              <from>
                <xdr:col>4</xdr:col>
                <xdr:colOff>342900</xdr:colOff>
                <xdr:row>24</xdr:row>
                <xdr:rowOff>133350</xdr:rowOff>
              </from>
              <to>
                <xdr:col>4</xdr:col>
                <xdr:colOff>1666875</xdr:colOff>
                <xdr:row>26</xdr:row>
                <xdr:rowOff>38100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r:id="rId7">
            <anchor moveWithCells="1">
              <from>
                <xdr:col>3</xdr:col>
                <xdr:colOff>876300</xdr:colOff>
                <xdr:row>32</xdr:row>
                <xdr:rowOff>152400</xdr:rowOff>
              </from>
              <to>
                <xdr:col>4</xdr:col>
                <xdr:colOff>495300</xdr:colOff>
                <xdr:row>35</xdr:row>
                <xdr:rowOff>123825</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r:id="rId9">
            <anchor moveWithCells="1">
              <from>
                <xdr:col>4</xdr:col>
                <xdr:colOff>342900</xdr:colOff>
                <xdr:row>22</xdr:row>
                <xdr:rowOff>0</xdr:rowOff>
              </from>
              <to>
                <xdr:col>4</xdr:col>
                <xdr:colOff>1447800</xdr:colOff>
                <xdr:row>23</xdr:row>
                <xdr:rowOff>57150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r:id="rId11">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r:id="rId13">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AutoCalcBOM">
          <controlPr defaultSize="0" disabled="1" autoLine="0" r:id="rId17">
            <anchor>
              <from>
                <xdr:col>4</xdr:col>
                <xdr:colOff>342900</xdr:colOff>
                <xdr:row>17</xdr:row>
                <xdr:rowOff>28575</xdr:rowOff>
              </from>
              <to>
                <xdr:col>4</xdr:col>
                <xdr:colOff>1466850</xdr:colOff>
                <xdr:row>18</xdr:row>
                <xdr:rowOff>85725</xdr:rowOff>
              </to>
            </anchor>
          </controlPr>
        </control>
      </mc:Choice>
      <mc:Fallback>
        <control shapeId="414910" r:id="rId16" name="ckbxAutoCalcBOM"/>
      </mc:Fallback>
    </mc:AlternateContent>
    <mc:AlternateContent xmlns:mc="http://schemas.openxmlformats.org/markup-compatibility/2006">
      <mc:Choice Requires="x14">
        <control shapeId="414826" r:id="rId18" name="cmdDeleteView">
          <controlPr defaultSize="0" disabled="1" autoFill="0" autoLine="0" r:id="rId19">
            <anchor moveWithCells="1">
              <from>
                <xdr:col>3</xdr:col>
                <xdr:colOff>876300</xdr:colOff>
                <xdr:row>29</xdr:row>
                <xdr:rowOff>114300</xdr:rowOff>
              </from>
              <to>
                <xdr:col>4</xdr:col>
                <xdr:colOff>495300</xdr:colOff>
                <xdr:row>32</xdr:row>
                <xdr:rowOff>85725</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r:id="rId21">
            <anchor moveWithCells="1">
              <from>
                <xdr:col>2</xdr:col>
                <xdr:colOff>523875</xdr:colOff>
                <xdr:row>29</xdr:row>
                <xdr:rowOff>114300</xdr:rowOff>
              </from>
              <to>
                <xdr:col>3</xdr:col>
                <xdr:colOff>809625</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from>
                <xdr:col>2</xdr:col>
                <xdr:colOff>1038225</xdr:colOff>
                <xdr:row>27</xdr:row>
                <xdr:rowOff>47625</xdr:rowOff>
              </from>
              <to>
                <xdr:col>4</xdr:col>
                <xdr:colOff>114300</xdr:colOff>
                <xdr:row>27</xdr:row>
                <xdr:rowOff>295275</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autoFill="0" autoLine="0" r:id="rId25">
            <anchor>
              <from>
                <xdr:col>4</xdr:col>
                <xdr:colOff>390525</xdr:colOff>
                <xdr:row>26</xdr:row>
                <xdr:rowOff>104775</xdr:rowOff>
              </from>
              <to>
                <xdr:col>4</xdr:col>
                <xdr:colOff>1609725</xdr:colOff>
                <xdr:row>28</xdr:row>
                <xdr:rowOff>142875</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t="s">
        <v>1404</v>
      </c>
      <c r="B8" s="1807" t="s">
        <v>1588</v>
      </c>
      <c r="C8" s="1807"/>
      <c r="D8" s="1807"/>
      <c r="E8" s="1807"/>
      <c r="F8" s="1807"/>
      <c r="G8" s="1807"/>
      <c r="H8" s="1807"/>
    </row>
    <row r="9" spans="1:8" ht="15" customHeight="1" x14ac:dyDescent="0.2">
      <c r="A9" s="1052"/>
      <c r="B9" s="1806" t="s">
        <v>1589</v>
      </c>
      <c r="C9" s="1806"/>
      <c r="D9" s="1806"/>
      <c r="E9" s="1806"/>
      <c r="F9" s="1806"/>
      <c r="G9" s="1806"/>
      <c r="H9" s="1806"/>
    </row>
    <row r="10" spans="1:8" ht="15" customHeight="1" x14ac:dyDescent="0.2">
      <c r="A10" s="1052" t="s">
        <v>1405</v>
      </c>
      <c r="B10" s="1806" t="s">
        <v>1590</v>
      </c>
      <c r="C10" s="1806"/>
      <c r="D10" s="1806"/>
      <c r="E10" s="1806"/>
      <c r="F10" s="1806"/>
      <c r="G10" s="1806"/>
      <c r="H10" s="1806"/>
    </row>
    <row r="11" spans="1:8" ht="15" customHeight="1" x14ac:dyDescent="0.2">
      <c r="A11" s="1052"/>
      <c r="B11" s="1806" t="s">
        <v>1591</v>
      </c>
      <c r="C11" s="1806"/>
      <c r="D11" s="1806"/>
      <c r="E11" s="1806"/>
      <c r="F11" s="1806"/>
      <c r="G11" s="1806"/>
      <c r="H11" s="1806"/>
    </row>
    <row r="12" spans="1:8" ht="15" customHeight="1" x14ac:dyDescent="0.2">
      <c r="A12" s="1052" t="s">
        <v>1409</v>
      </c>
      <c r="B12" s="1806" t="s">
        <v>1588</v>
      </c>
      <c r="C12" s="1806"/>
      <c r="D12" s="1806"/>
      <c r="E12" s="1806"/>
      <c r="F12" s="1806"/>
      <c r="G12" s="1806"/>
      <c r="H12" s="1806"/>
    </row>
    <row r="13" spans="1:8" ht="15" customHeight="1" x14ac:dyDescent="0.2">
      <c r="A13" s="1052"/>
      <c r="B13" s="1806" t="s">
        <v>1589</v>
      </c>
      <c r="C13" s="1806"/>
      <c r="D13" s="1806"/>
      <c r="E13" s="1806"/>
      <c r="F13" s="1806"/>
      <c r="G13" s="1806"/>
      <c r="H13" s="1806"/>
    </row>
    <row r="14" spans="1:8" ht="15" customHeight="1" x14ac:dyDescent="0.2">
      <c r="A14" s="1052" t="s">
        <v>1410</v>
      </c>
      <c r="B14" s="1806" t="s">
        <v>1590</v>
      </c>
      <c r="C14" s="1806"/>
      <c r="D14" s="1806"/>
      <c r="E14" s="1806"/>
      <c r="F14" s="1806"/>
      <c r="G14" s="1806"/>
      <c r="H14" s="1806"/>
    </row>
    <row r="15" spans="1:8" ht="15" customHeight="1" x14ac:dyDescent="0.2">
      <c r="A15" s="1052"/>
      <c r="B15" s="1806" t="s">
        <v>1591</v>
      </c>
      <c r="C15" s="1806"/>
      <c r="D15" s="1806"/>
      <c r="E15" s="1806"/>
      <c r="F15" s="1806"/>
      <c r="G15" s="1806"/>
      <c r="H15" s="1806"/>
    </row>
    <row r="16" spans="1:8" ht="15" customHeight="1" x14ac:dyDescent="0.2">
      <c r="A16" s="1052" t="s">
        <v>1414</v>
      </c>
      <c r="B16" s="1806" t="s">
        <v>1588</v>
      </c>
      <c r="C16" s="1806"/>
      <c r="D16" s="1806"/>
      <c r="E16" s="1806"/>
      <c r="F16" s="1806"/>
      <c r="G16" s="1806"/>
      <c r="H16" s="1806"/>
    </row>
    <row r="17" spans="1:8" ht="15" customHeight="1" x14ac:dyDescent="0.2">
      <c r="A17" s="1052"/>
      <c r="B17" s="1806" t="s">
        <v>1589</v>
      </c>
      <c r="C17" s="1806"/>
      <c r="D17" s="1806"/>
      <c r="E17" s="1806"/>
      <c r="F17" s="1806"/>
      <c r="G17" s="1806"/>
      <c r="H17" s="1806"/>
    </row>
    <row r="18" spans="1:8" ht="15" customHeight="1" x14ac:dyDescent="0.2">
      <c r="A18" s="1052" t="s">
        <v>1415</v>
      </c>
      <c r="B18" s="1806" t="s">
        <v>1590</v>
      </c>
      <c r="C18" s="1806"/>
      <c r="D18" s="1806"/>
      <c r="E18" s="1806"/>
      <c r="F18" s="1806"/>
      <c r="G18" s="1806"/>
      <c r="H18" s="1806"/>
    </row>
    <row r="19" spans="1:8" ht="15" customHeight="1" x14ac:dyDescent="0.2">
      <c r="A19" s="1052"/>
      <c r="B19" s="1806" t="s">
        <v>1591</v>
      </c>
      <c r="C19" s="1806"/>
      <c r="D19" s="1806"/>
      <c r="E19" s="1806"/>
      <c r="F19" s="1806"/>
      <c r="G19" s="1806"/>
      <c r="H19" s="1806"/>
    </row>
    <row r="20" spans="1:8" ht="15" customHeight="1" x14ac:dyDescent="0.2">
      <c r="A20" s="1052" t="s">
        <v>1420</v>
      </c>
      <c r="B20" s="1806" t="s">
        <v>1588</v>
      </c>
      <c r="C20" s="1806"/>
      <c r="D20" s="1806"/>
      <c r="E20" s="1806"/>
      <c r="F20" s="1806"/>
      <c r="G20" s="1806"/>
      <c r="H20" s="1806"/>
    </row>
    <row r="21" spans="1:8" ht="15" customHeight="1" x14ac:dyDescent="0.2">
      <c r="A21" s="1052"/>
      <c r="B21" s="1806" t="s">
        <v>1589</v>
      </c>
      <c r="C21" s="1806"/>
      <c r="D21" s="1806"/>
      <c r="E21" s="1806"/>
      <c r="F21" s="1806"/>
      <c r="G21" s="1806"/>
      <c r="H21" s="1806"/>
    </row>
    <row r="22" spans="1:8" ht="15" customHeight="1" x14ac:dyDescent="0.2">
      <c r="A22" s="1052" t="s">
        <v>1421</v>
      </c>
      <c r="B22" s="1806" t="s">
        <v>1590</v>
      </c>
      <c r="C22" s="1806"/>
      <c r="D22" s="1806"/>
      <c r="E22" s="1806"/>
      <c r="F22" s="1806"/>
      <c r="G22" s="1806"/>
      <c r="H22" s="1806"/>
    </row>
    <row r="23" spans="1:8" ht="15" customHeight="1" x14ac:dyDescent="0.2">
      <c r="A23" s="1052"/>
      <c r="B23" s="1806" t="s">
        <v>1591</v>
      </c>
      <c r="C23" s="1806"/>
      <c r="D23" s="1806"/>
      <c r="E23" s="1806"/>
      <c r="F23" s="1806"/>
      <c r="G23" s="1806"/>
      <c r="H23" s="1806"/>
    </row>
    <row r="24" spans="1:8" ht="15" customHeight="1" x14ac:dyDescent="0.2">
      <c r="A24" s="1052" t="s">
        <v>1423</v>
      </c>
      <c r="B24" s="1806" t="s">
        <v>1588</v>
      </c>
      <c r="C24" s="1806"/>
      <c r="D24" s="1806"/>
      <c r="E24" s="1806"/>
      <c r="F24" s="1806"/>
      <c r="G24" s="1806"/>
      <c r="H24" s="1806"/>
    </row>
    <row r="25" spans="1:8" ht="15" customHeight="1" x14ac:dyDescent="0.2">
      <c r="A25" s="1052"/>
      <c r="B25" s="1806" t="s">
        <v>1589</v>
      </c>
      <c r="C25" s="1806"/>
      <c r="D25" s="1806"/>
      <c r="E25" s="1806"/>
      <c r="F25" s="1806"/>
      <c r="G25" s="1806"/>
      <c r="H25" s="1806"/>
    </row>
    <row r="26" spans="1:8" ht="15" customHeight="1" x14ac:dyDescent="0.2">
      <c r="A26" s="1052" t="s">
        <v>1424</v>
      </c>
      <c r="B26" s="1806" t="s">
        <v>1590</v>
      </c>
      <c r="C26" s="1806"/>
      <c r="D26" s="1806"/>
      <c r="E26" s="1806"/>
      <c r="F26" s="1806"/>
      <c r="G26" s="1806"/>
      <c r="H26" s="1806"/>
    </row>
    <row r="27" spans="1:8" ht="15" customHeight="1" x14ac:dyDescent="0.2">
      <c r="A27" s="1052"/>
      <c r="B27" s="1806" t="s">
        <v>1591</v>
      </c>
      <c r="C27" s="1806"/>
      <c r="D27" s="1806"/>
      <c r="E27" s="1806"/>
      <c r="F27" s="1806"/>
      <c r="G27" s="1806"/>
      <c r="H27" s="1806"/>
    </row>
    <row r="28" spans="1:8" ht="15" customHeight="1" x14ac:dyDescent="0.2">
      <c r="A28" s="1052" t="s">
        <v>1425</v>
      </c>
      <c r="B28" s="1806" t="s">
        <v>1588</v>
      </c>
      <c r="C28" s="1806"/>
      <c r="D28" s="1806"/>
      <c r="E28" s="1806"/>
      <c r="F28" s="1806"/>
      <c r="G28" s="1806"/>
      <c r="H28" s="1806"/>
    </row>
    <row r="29" spans="1:8" ht="15" customHeight="1" x14ac:dyDescent="0.2">
      <c r="A29" s="1052"/>
      <c r="B29" s="1806" t="s">
        <v>1589</v>
      </c>
      <c r="C29" s="1806"/>
      <c r="D29" s="1806"/>
      <c r="E29" s="1806"/>
      <c r="F29" s="1806"/>
      <c r="G29" s="1806"/>
      <c r="H29" s="1806"/>
    </row>
    <row r="30" spans="1:8" ht="15" customHeight="1" x14ac:dyDescent="0.2">
      <c r="A30" s="1052" t="s">
        <v>1426</v>
      </c>
      <c r="B30" s="1806" t="s">
        <v>1590</v>
      </c>
      <c r="C30" s="1806"/>
      <c r="D30" s="1806"/>
      <c r="E30" s="1806"/>
      <c r="F30" s="1806"/>
      <c r="G30" s="1806"/>
      <c r="H30" s="1806"/>
    </row>
    <row r="31" spans="1:8" ht="15" customHeight="1" x14ac:dyDescent="0.2">
      <c r="A31" s="1052"/>
      <c r="B31" s="1806" t="s">
        <v>1591</v>
      </c>
      <c r="C31" s="1806"/>
      <c r="D31" s="1806"/>
      <c r="E31" s="1806"/>
      <c r="F31" s="1806"/>
      <c r="G31" s="1806"/>
      <c r="H31" s="1806"/>
    </row>
    <row r="32" spans="1:8" ht="15" customHeight="1" x14ac:dyDescent="0.2">
      <c r="A32" s="1052" t="s">
        <v>1427</v>
      </c>
      <c r="B32" s="1806" t="s">
        <v>1590</v>
      </c>
      <c r="C32" s="1806"/>
      <c r="D32" s="1806"/>
      <c r="E32" s="1806"/>
      <c r="F32" s="1806"/>
      <c r="G32" s="1806"/>
      <c r="H32" s="1806"/>
    </row>
    <row r="33" spans="1:8" ht="15" customHeight="1" x14ac:dyDescent="0.2">
      <c r="A33" s="1052"/>
      <c r="B33" s="1806" t="s">
        <v>1591</v>
      </c>
      <c r="C33" s="1806"/>
      <c r="D33" s="1806"/>
      <c r="E33" s="1806"/>
      <c r="F33" s="1806"/>
      <c r="G33" s="1806"/>
      <c r="H33" s="1806"/>
    </row>
    <row r="34" spans="1:8" ht="15" customHeight="1" x14ac:dyDescent="0.2">
      <c r="A34" s="1052" t="s">
        <v>1429</v>
      </c>
      <c r="B34" s="1806" t="s">
        <v>1590</v>
      </c>
      <c r="C34" s="1806"/>
      <c r="D34" s="1806"/>
      <c r="E34" s="1806"/>
      <c r="F34" s="1806"/>
      <c r="G34" s="1806"/>
      <c r="H34" s="1806"/>
    </row>
    <row r="35" spans="1:8" ht="15" customHeight="1" x14ac:dyDescent="0.2">
      <c r="A35" s="1052"/>
      <c r="B35" s="1806" t="s">
        <v>1591</v>
      </c>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iSJxl3ui404fLm4D8mUbQOLwNG5M2OyRlBEbsX+xHSqx5G+1IAi9Lk/ChEQt8TqeYh1RCqLI7Dp6Tma68Pt4AA==" saltValue="6DHLr/vBJCg58h5H4m08a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v>1</v>
      </c>
      <c r="B13" s="1839" t="s">
        <v>1594</v>
      </c>
      <c r="C13" s="1840"/>
      <c r="D13" s="1840"/>
      <c r="E13" s="1840"/>
      <c r="F13" s="1840"/>
      <c r="G13" s="1840"/>
      <c r="H13" s="1840"/>
      <c r="I13" s="1840"/>
      <c r="J13" s="1841"/>
      <c r="L13" s="946" t="str">
        <f>IF(ISBLANK(A13),"",SUBSTITUTE(A13,"*",""))</f>
        <v>1</v>
      </c>
      <c r="M13" s="1537"/>
      <c r="N13" s="1539"/>
      <c r="O13" s="1528"/>
      <c r="P13" s="792"/>
      <c r="Q13" s="793" t="s">
        <v>1022</v>
      </c>
      <c r="R13" s="787" t="str">
        <f>CONCATENATE("[",P13, "] - ", Q13)</f>
        <v>[] - SHAPES</v>
      </c>
    </row>
    <row r="14" spans="1:22" ht="15.4" customHeight="1" x14ac:dyDescent="0.2">
      <c r="A14" s="1492">
        <v>2</v>
      </c>
      <c r="B14" s="1833" t="s">
        <v>1595</v>
      </c>
      <c r="C14" s="1834"/>
      <c r="D14" s="1834"/>
      <c r="E14" s="1834"/>
      <c r="F14" s="1834"/>
      <c r="G14" s="1834"/>
      <c r="H14" s="1834"/>
      <c r="I14" s="1834"/>
      <c r="J14" s="1835"/>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v>3</v>
      </c>
      <c r="B15" s="1833" t="s">
        <v>1596</v>
      </c>
      <c r="C15" s="1834"/>
      <c r="D15" s="1834"/>
      <c r="E15" s="1834"/>
      <c r="F15" s="1834"/>
      <c r="G15" s="1834"/>
      <c r="H15" s="1834"/>
      <c r="I15" s="1834"/>
      <c r="J15" s="1835"/>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1492">
        <v>4</v>
      </c>
      <c r="B16" s="1833" t="s">
        <v>1597</v>
      </c>
      <c r="C16" s="1834"/>
      <c r="D16" s="1834"/>
      <c r="E16" s="1834"/>
      <c r="F16" s="1834"/>
      <c r="G16" s="1834"/>
      <c r="H16" s="1834"/>
      <c r="I16" s="1834"/>
      <c r="J16" s="1835"/>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v>5</v>
      </c>
      <c r="B17" s="1833" t="s">
        <v>1598</v>
      </c>
      <c r="C17" s="1834"/>
      <c r="D17" s="1834"/>
      <c r="E17" s="1834"/>
      <c r="F17" s="1834"/>
      <c r="G17" s="1834"/>
      <c r="H17" s="1834"/>
      <c r="I17" s="1834"/>
      <c r="J17" s="1835"/>
      <c r="L17" s="946" t="str">
        <f t="shared" si="1"/>
        <v>5</v>
      </c>
      <c r="M17" s="1537"/>
      <c r="N17" s="1539"/>
      <c r="O17" s="1528"/>
      <c r="P17" s="794" t="s">
        <v>991</v>
      </c>
      <c r="Q17" s="795" t="s">
        <v>1026</v>
      </c>
      <c r="R17" s="788" t="str">
        <f t="shared" si="0"/>
        <v>[AC] - Arched Chords: (Depth=Designation) ##" TC Radius</v>
      </c>
    </row>
    <row r="18" spans="1:18" ht="15.4" customHeight="1" x14ac:dyDescent="0.2">
      <c r="A18" s="1492">
        <v>6</v>
      </c>
      <c r="B18" s="1833" t="s">
        <v>1599</v>
      </c>
      <c r="C18" s="1834"/>
      <c r="D18" s="1834"/>
      <c r="E18" s="1834"/>
      <c r="F18" s="1834"/>
      <c r="G18" s="1834"/>
      <c r="H18" s="1834"/>
      <c r="I18" s="1834"/>
      <c r="J18" s="1835"/>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1492">
        <v>7</v>
      </c>
      <c r="B19" s="1833" t="s">
        <v>1600</v>
      </c>
      <c r="C19" s="1834"/>
      <c r="D19" s="1834"/>
      <c r="E19" s="1834"/>
      <c r="F19" s="1834"/>
      <c r="G19" s="1834"/>
      <c r="H19" s="1834"/>
      <c r="I19" s="1834"/>
      <c r="J19" s="1835"/>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v>8</v>
      </c>
      <c r="B20" s="1833" t="s">
        <v>1601</v>
      </c>
      <c r="C20" s="1834"/>
      <c r="D20" s="1834"/>
      <c r="E20" s="1834"/>
      <c r="F20" s="1834"/>
      <c r="G20" s="1834"/>
      <c r="H20" s="1834"/>
      <c r="I20" s="1834"/>
      <c r="J20" s="1835"/>
      <c r="L20" s="946" t="str">
        <f t="shared" si="1"/>
        <v>8</v>
      </c>
      <c r="M20" s="1537"/>
      <c r="N20" s="1539"/>
      <c r="O20" s="1528"/>
      <c r="P20" s="794"/>
      <c r="Q20" s="795" t="s">
        <v>1028</v>
      </c>
      <c r="R20" s="788" t="str">
        <f t="shared" si="0"/>
        <v>[] - DEFLECTION</v>
      </c>
    </row>
    <row r="21" spans="1:18" ht="15.4" customHeight="1" x14ac:dyDescent="0.2">
      <c r="A21" s="1492">
        <v>9</v>
      </c>
      <c r="B21" s="1842" t="s">
        <v>1602</v>
      </c>
      <c r="C21" s="1843"/>
      <c r="D21" s="1843"/>
      <c r="E21" s="1843"/>
      <c r="F21" s="1843"/>
      <c r="G21" s="1843"/>
      <c r="H21" s="1843"/>
      <c r="I21" s="1843"/>
      <c r="J21" s="1844"/>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1492">
        <v>10</v>
      </c>
      <c r="B22" s="1833" t="s">
        <v>1603</v>
      </c>
      <c r="C22" s="1834"/>
      <c r="D22" s="1834"/>
      <c r="E22" s="1834"/>
      <c r="F22" s="1834"/>
      <c r="G22" s="1834"/>
      <c r="H22" s="1834"/>
      <c r="I22" s="1834"/>
      <c r="J22" s="1835"/>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1492">
        <v>11</v>
      </c>
      <c r="B23" s="1839" t="s">
        <v>1604</v>
      </c>
      <c r="C23" s="1840"/>
      <c r="D23" s="1840"/>
      <c r="E23" s="1840"/>
      <c r="F23" s="1840"/>
      <c r="G23" s="1840"/>
      <c r="H23" s="1840"/>
      <c r="I23" s="1840"/>
      <c r="J23" s="1841"/>
      <c r="L23" s="946" t="str">
        <f t="shared" si="1"/>
        <v>11</v>
      </c>
      <c r="M23" s="1537"/>
      <c r="N23" s="1539"/>
      <c r="O23" s="1528"/>
      <c r="P23" s="794" t="s">
        <v>988</v>
      </c>
      <c r="Q23" s="795" t="s">
        <v>1032</v>
      </c>
      <c r="R23" s="788" t="str">
        <f t="shared" si="0"/>
        <v>[DefTCX] - TCXL|TCXR Deflection = ##" Max Due To ### PLF LL|DL|TL</v>
      </c>
    </row>
    <row r="24" spans="1:18" ht="15.4" customHeight="1" x14ac:dyDescent="0.2">
      <c r="A24" s="1492">
        <v>12</v>
      </c>
      <c r="B24" s="1833" t="s">
        <v>1697</v>
      </c>
      <c r="C24" s="1834"/>
      <c r="D24" s="1834"/>
      <c r="E24" s="1834"/>
      <c r="F24" s="1834"/>
      <c r="G24" s="1834"/>
      <c r="H24" s="1834"/>
      <c r="I24" s="1834"/>
      <c r="J24" s="1835"/>
      <c r="L24" s="946" t="str">
        <f t="shared" si="1"/>
        <v>12</v>
      </c>
      <c r="M24" s="1537"/>
      <c r="N24" s="1539"/>
      <c r="O24" s="1528"/>
      <c r="P24" s="794" t="s">
        <v>989</v>
      </c>
      <c r="Q24" s="795" t="s">
        <v>1031</v>
      </c>
      <c r="R24" s="788" t="str">
        <f t="shared" si="0"/>
        <v>[DefSP] - Special Deflection = ##" Max Due To ### PLF LL|DL|TL</v>
      </c>
    </row>
    <row r="25" spans="1:18" ht="15.4" customHeight="1" x14ac:dyDescent="0.2">
      <c r="A25" s="1492">
        <v>13</v>
      </c>
      <c r="B25" s="1833" t="s">
        <v>1605</v>
      </c>
      <c r="C25" s="1834"/>
      <c r="D25" s="1834"/>
      <c r="E25" s="1834"/>
      <c r="F25" s="1834"/>
      <c r="G25" s="1834"/>
      <c r="H25" s="1834"/>
      <c r="I25" s="1834"/>
      <c r="J25" s="1835"/>
      <c r="L25" s="946" t="str">
        <f t="shared" si="1"/>
        <v>13</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13</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13</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13</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13</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13</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13</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13</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13</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13</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13</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13</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13</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13</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13</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13</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13</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13</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1696</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Dqnlud6y56s8q3CdRcPSP1ZEBfzNjjzDHGusEXGZ9K7acN2N2N8hliidDu2DrkDZIViMubyXlCA8YycPOTGuYQ==" saltValue="Ryvua6kdsnBMn1QNFAso+g=="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80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t="s">
        <v>1698</v>
      </c>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t="s">
        <v>35</v>
      </c>
      <c r="T2" s="633" t="s">
        <v>1267</v>
      </c>
    </row>
    <row r="3" spans="1:22" ht="12.95" customHeight="1" x14ac:dyDescent="0.2">
      <c r="A3" s="374"/>
      <c r="B3" s="374"/>
      <c r="C3" s="374"/>
      <c r="D3" s="1825"/>
      <c r="E3" s="1826"/>
      <c r="F3" s="1827"/>
      <c r="G3" s="1818" t="s">
        <v>98</v>
      </c>
      <c r="H3" s="1818"/>
      <c r="I3" s="1820" t="str">
        <f ca="1">'Job Info.'!D14</f>
        <v>775-867-2169</v>
      </c>
      <c r="J3" s="1821"/>
      <c r="S3" s="633" t="s">
        <v>1572</v>
      </c>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t="s">
        <v>1569</v>
      </c>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t="s">
        <v>438</v>
      </c>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S9" s="245" t="s">
        <v>32</v>
      </c>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t="s">
        <v>32</v>
      </c>
      <c r="B13" s="1839" t="s">
        <v>1564</v>
      </c>
      <c r="C13" s="1840"/>
      <c r="D13" s="1840"/>
      <c r="E13" s="1840"/>
      <c r="F13" s="1840"/>
      <c r="G13" s="1840"/>
      <c r="H13" s="1840"/>
      <c r="I13" s="1840"/>
      <c r="J13" s="1841"/>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1492" t="s">
        <v>35</v>
      </c>
      <c r="B14" s="1833" t="s">
        <v>1565</v>
      </c>
      <c r="C14" s="1834"/>
      <c r="D14" s="1834"/>
      <c r="E14" s="1834"/>
      <c r="F14" s="1834"/>
      <c r="G14" s="1834"/>
      <c r="H14" s="1834"/>
      <c r="I14" s="1834"/>
      <c r="J14" s="1835"/>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t="s">
        <v>148</v>
      </c>
      <c r="B15" s="1833" t="s">
        <v>1566</v>
      </c>
      <c r="C15" s="1834"/>
      <c r="D15" s="1834"/>
      <c r="E15" s="1834"/>
      <c r="F15" s="1834"/>
      <c r="G15" s="1834"/>
      <c r="H15" s="1834"/>
      <c r="I15" s="1834"/>
      <c r="J15" s="1835"/>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t="s">
        <v>1567</v>
      </c>
      <c r="C16" s="1834"/>
      <c r="D16" s="1834"/>
      <c r="E16" s="1834"/>
      <c r="F16" s="1834"/>
      <c r="G16" s="1834"/>
      <c r="H16" s="1834"/>
      <c r="I16" s="1834"/>
      <c r="J16" s="1835"/>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t="s">
        <v>1568</v>
      </c>
      <c r="C17" s="1834"/>
      <c r="D17" s="1834"/>
      <c r="E17" s="1834"/>
      <c r="F17" s="1834"/>
      <c r="G17" s="1834"/>
      <c r="H17" s="1834"/>
      <c r="I17" s="1834"/>
      <c r="J17" s="1835"/>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t="s">
        <v>1569</v>
      </c>
      <c r="B18" s="1833" t="s">
        <v>1570</v>
      </c>
      <c r="C18" s="1834"/>
      <c r="D18" s="1834"/>
      <c r="E18" s="1834"/>
      <c r="F18" s="1834"/>
      <c r="G18" s="1834"/>
      <c r="H18" s="1834"/>
      <c r="I18" s="1834"/>
      <c r="J18" s="1835"/>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t="s">
        <v>1571</v>
      </c>
      <c r="B19" s="1833" t="s">
        <v>1704</v>
      </c>
      <c r="C19" s="1834"/>
      <c r="D19" s="1834"/>
      <c r="E19" s="1834"/>
      <c r="F19" s="1834"/>
      <c r="G19" s="1834"/>
      <c r="H19" s="1834"/>
      <c r="I19" s="1834"/>
      <c r="J19" s="1835"/>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t="s">
        <v>1572</v>
      </c>
      <c r="B20" s="1833" t="s">
        <v>1573</v>
      </c>
      <c r="C20" s="1834"/>
      <c r="D20" s="1834"/>
      <c r="E20" s="1834"/>
      <c r="F20" s="1834"/>
      <c r="G20" s="1834"/>
      <c r="H20" s="1834"/>
      <c r="I20" s="1834"/>
      <c r="J20" s="1835"/>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1492" t="s">
        <v>438</v>
      </c>
      <c r="B21" s="1842" t="s">
        <v>1574</v>
      </c>
      <c r="C21" s="1843"/>
      <c r="D21" s="1843"/>
      <c r="E21" s="1843"/>
      <c r="F21" s="1843"/>
      <c r="G21" s="1843"/>
      <c r="H21" s="1843"/>
      <c r="I21" s="1843"/>
      <c r="J21" s="1844"/>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t="s">
        <v>1575</v>
      </c>
      <c r="B22" s="1833" t="s">
        <v>1576</v>
      </c>
      <c r="C22" s="1834"/>
      <c r="D22" s="1834"/>
      <c r="E22" s="1834"/>
      <c r="F22" s="1834"/>
      <c r="G22" s="1834"/>
      <c r="H22" s="1834"/>
      <c r="I22" s="1834"/>
      <c r="J22" s="1835"/>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fm70Gi1225IK7b7kW1inzkuy+rltBgjV1829gHH0Z9pfZywO+Vjr8R0ErDqD08rHcjIEDkrZk8xj3NpHGYp5PA==" saltValue="he/YXj7PegwxHxO1eW7KnA=="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802" priority="5" stopIfTrue="1" operator="equal">
      <formula>""</formula>
    </cfRule>
  </conditionalFormatting>
  <conditionalFormatting sqref="A13:J51">
    <cfRule type="expression" dxfId="801" priority="2">
      <formula>AND(NOT($N13),NOT($O13),$M$1)</formula>
    </cfRule>
    <cfRule type="expression" dxfId="800" priority="4">
      <formula>AND($M13,$L$1="M")</formula>
    </cfRule>
  </conditionalFormatting>
  <conditionalFormatting sqref="A13:A51">
    <cfRule type="expression" dxfId="799" priority="3">
      <formula>NOT(OR($N13,$O13))</formula>
    </cfRule>
  </conditionalFormatting>
  <conditionalFormatting sqref="B13:J51">
    <cfRule type="expression" dxfId="798"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1394</v>
      </c>
      <c r="B14" s="1504" t="s">
        <v>144</v>
      </c>
      <c r="C14" s="1504" t="s">
        <v>142</v>
      </c>
      <c r="D14" s="1504" t="s">
        <v>145</v>
      </c>
      <c r="E14" s="1687"/>
      <c r="F14" s="1505">
        <v>119</v>
      </c>
      <c r="G14" s="1506"/>
      <c r="H14" s="1507"/>
      <c r="I14" s="1505"/>
      <c r="J14" s="1506"/>
      <c r="K14" s="1507"/>
      <c r="L14" s="1508" t="s">
        <v>116</v>
      </c>
      <c r="M14" s="1509" t="s">
        <v>808</v>
      </c>
      <c r="N14" s="1688" t="s">
        <v>1515</v>
      </c>
      <c r="O14" s="2670"/>
      <c r="P14" s="415"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808</v>
      </c>
      <c r="B15" s="1511" t="s">
        <v>144</v>
      </c>
      <c r="C15" s="1511" t="s">
        <v>142</v>
      </c>
      <c r="D15" s="1511" t="s">
        <v>145</v>
      </c>
      <c r="E15" s="1512"/>
      <c r="F15" s="1513">
        <v>69</v>
      </c>
      <c r="G15" s="1514"/>
      <c r="H15" s="1515"/>
      <c r="I15" s="1513"/>
      <c r="J15" s="1514"/>
      <c r="K15" s="1515"/>
      <c r="L15" s="1516" t="s">
        <v>116</v>
      </c>
      <c r="M15" s="1517" t="s">
        <v>808</v>
      </c>
      <c r="N15" s="1689" t="s">
        <v>1516</v>
      </c>
      <c r="O15" s="2670"/>
      <c r="P15" s="415"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144</v>
      </c>
      <c r="C16" s="1511" t="s">
        <v>142</v>
      </c>
      <c r="D16" s="1511" t="s">
        <v>145</v>
      </c>
      <c r="E16" s="1512"/>
      <c r="F16" s="1513">
        <v>50</v>
      </c>
      <c r="G16" s="1514">
        <v>0</v>
      </c>
      <c r="H16" s="1515">
        <v>0</v>
      </c>
      <c r="I16" s="1513">
        <v>50</v>
      </c>
      <c r="J16" s="1514">
        <v>23</v>
      </c>
      <c r="K16" s="1515">
        <v>0</v>
      </c>
      <c r="L16" s="1516" t="s">
        <v>702</v>
      </c>
      <c r="M16" s="1517" t="s">
        <v>808</v>
      </c>
      <c r="N16" s="1689" t="s">
        <v>116</v>
      </c>
      <c r="O16" s="2670"/>
      <c r="P16" s="415"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1397</v>
      </c>
      <c r="B17" s="1511" t="s">
        <v>144</v>
      </c>
      <c r="C17" s="1511" t="s">
        <v>142</v>
      </c>
      <c r="D17" s="1511" t="s">
        <v>145</v>
      </c>
      <c r="E17" s="1512"/>
      <c r="F17" s="1513">
        <v>69</v>
      </c>
      <c r="G17" s="1514"/>
      <c r="H17" s="1515"/>
      <c r="I17" s="1513"/>
      <c r="J17" s="1514"/>
      <c r="K17" s="1515"/>
      <c r="L17" s="1516" t="s">
        <v>116</v>
      </c>
      <c r="M17" s="1517" t="s">
        <v>808</v>
      </c>
      <c r="N17" s="1689" t="s">
        <v>1517</v>
      </c>
      <c r="O17" s="2670"/>
      <c r="P17" s="415"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1518</v>
      </c>
      <c r="B18" s="1511" t="s">
        <v>157</v>
      </c>
      <c r="C18" s="1511" t="s">
        <v>167</v>
      </c>
      <c r="D18" s="1511" t="s">
        <v>145</v>
      </c>
      <c r="E18" s="1512"/>
      <c r="F18" s="1513">
        <v>38500</v>
      </c>
      <c r="G18" s="1514"/>
      <c r="H18" s="1515"/>
      <c r="I18" s="1513"/>
      <c r="J18" s="1514"/>
      <c r="K18" s="1515"/>
      <c r="L18" s="1516" t="s">
        <v>116</v>
      </c>
      <c r="M18" s="1517" t="s">
        <v>1397</v>
      </c>
      <c r="N18" s="1689" t="s">
        <v>116</v>
      </c>
      <c r="O18" s="2670"/>
      <c r="P18" s="415"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1519</v>
      </c>
      <c r="B19" s="1511" t="s">
        <v>157</v>
      </c>
      <c r="C19" s="1511" t="s">
        <v>167</v>
      </c>
      <c r="D19" s="1511" t="s">
        <v>145</v>
      </c>
      <c r="E19" s="1512"/>
      <c r="F19" s="1513">
        <v>24500</v>
      </c>
      <c r="G19" s="1514"/>
      <c r="H19" s="1515"/>
      <c r="I19" s="1513"/>
      <c r="J19" s="1514"/>
      <c r="K19" s="1515"/>
      <c r="L19" s="1516" t="s">
        <v>116</v>
      </c>
      <c r="M19" s="1517" t="s">
        <v>1397</v>
      </c>
      <c r="N19" s="1689" t="s">
        <v>116</v>
      </c>
      <c r="O19" s="2670"/>
      <c r="P19" s="415"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1520</v>
      </c>
      <c r="B20" s="1511" t="s">
        <v>157</v>
      </c>
      <c r="C20" s="1511" t="s">
        <v>167</v>
      </c>
      <c r="D20" s="1511" t="s">
        <v>145</v>
      </c>
      <c r="E20" s="1512"/>
      <c r="F20" s="1513">
        <v>34300</v>
      </c>
      <c r="G20" s="1514"/>
      <c r="H20" s="1515"/>
      <c r="I20" s="1513"/>
      <c r="J20" s="1514"/>
      <c r="K20" s="1515"/>
      <c r="L20" s="1516" t="s">
        <v>116</v>
      </c>
      <c r="M20" s="1517" t="s">
        <v>1397</v>
      </c>
      <c r="N20" s="1518" t="s">
        <v>116</v>
      </c>
      <c r="O20" s="2671"/>
      <c r="P20" s="415"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1521</v>
      </c>
      <c r="B21" s="1511" t="s">
        <v>151</v>
      </c>
      <c r="C21" s="1511" t="s">
        <v>163</v>
      </c>
      <c r="D21" s="1511" t="s">
        <v>145</v>
      </c>
      <c r="E21" s="1512"/>
      <c r="F21" s="1513">
        <v>446</v>
      </c>
      <c r="G21" s="1514"/>
      <c r="H21" s="1515"/>
      <c r="I21" s="1513"/>
      <c r="J21" s="1514"/>
      <c r="K21" s="1515"/>
      <c r="L21" s="1516" t="s">
        <v>116</v>
      </c>
      <c r="M21" s="1517" t="s">
        <v>116</v>
      </c>
      <c r="N21" s="1518" t="s">
        <v>1522</v>
      </c>
      <c r="O21" s="2671"/>
      <c r="P21" s="415"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104</v>
      </c>
      <c r="G22" s="1514">
        <v>0</v>
      </c>
      <c r="H22" s="1515">
        <v>0</v>
      </c>
      <c r="I22" s="1513">
        <v>0</v>
      </c>
      <c r="J22" s="1514">
        <v>6</v>
      </c>
      <c r="K22" s="1515">
        <v>3.125</v>
      </c>
      <c r="L22" s="1516" t="s">
        <v>702</v>
      </c>
      <c r="M22" s="1517" t="s">
        <v>116</v>
      </c>
      <c r="N22" s="1518" t="s">
        <v>116</v>
      </c>
      <c r="O22" s="2671"/>
      <c r="P22" s="415"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943</v>
      </c>
      <c r="B23" s="1511" t="s">
        <v>151</v>
      </c>
      <c r="C23" s="1511" t="s">
        <v>163</v>
      </c>
      <c r="D23" s="1511" t="s">
        <v>145</v>
      </c>
      <c r="E23" s="1512"/>
      <c r="F23" s="1513">
        <v>342</v>
      </c>
      <c r="G23" s="1514"/>
      <c r="H23" s="1515"/>
      <c r="I23" s="1513"/>
      <c r="J23" s="1514"/>
      <c r="K23" s="1515"/>
      <c r="L23" s="1516" t="s">
        <v>116</v>
      </c>
      <c r="M23" s="1517" t="s">
        <v>116</v>
      </c>
      <c r="N23" s="1518" t="s">
        <v>1522</v>
      </c>
      <c r="O23" s="2671"/>
      <c r="P23" s="415"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208</v>
      </c>
      <c r="G24" s="1514">
        <v>0</v>
      </c>
      <c r="H24" s="1515">
        <v>0</v>
      </c>
      <c r="I24" s="1513">
        <v>0</v>
      </c>
      <c r="J24" s="1514">
        <v>12</v>
      </c>
      <c r="K24" s="1515">
        <v>6</v>
      </c>
      <c r="L24" s="1516" t="s">
        <v>702</v>
      </c>
      <c r="M24" s="1517" t="s">
        <v>116</v>
      </c>
      <c r="N24" s="1518" t="s">
        <v>116</v>
      </c>
      <c r="O24" s="2671"/>
      <c r="P24" s="415"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944</v>
      </c>
      <c r="B25" s="1511" t="s">
        <v>151</v>
      </c>
      <c r="C25" s="1511" t="s">
        <v>163</v>
      </c>
      <c r="D25" s="1511" t="s">
        <v>145</v>
      </c>
      <c r="E25" s="1512"/>
      <c r="F25" s="1513">
        <v>238</v>
      </c>
      <c r="G25" s="1514"/>
      <c r="H25" s="1515"/>
      <c r="I25" s="1513"/>
      <c r="J25" s="1514"/>
      <c r="K25" s="1515"/>
      <c r="L25" s="1516" t="s">
        <v>116</v>
      </c>
      <c r="M25" s="1517" t="s">
        <v>116</v>
      </c>
      <c r="N25" s="1518" t="s">
        <v>1522</v>
      </c>
      <c r="O25" s="2671"/>
      <c r="P25" s="415"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116</v>
      </c>
      <c r="N26" s="1518" t="s">
        <v>116</v>
      </c>
      <c r="O26" s="2671"/>
      <c r="P26" s="415"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1523</v>
      </c>
      <c r="B27" s="1511" t="s">
        <v>151</v>
      </c>
      <c r="C27" s="1511" t="s">
        <v>163</v>
      </c>
      <c r="D27" s="1511" t="s">
        <v>145</v>
      </c>
      <c r="E27" s="1512"/>
      <c r="F27" s="1513">
        <v>134</v>
      </c>
      <c r="G27" s="1514"/>
      <c r="H27" s="1515"/>
      <c r="I27" s="1513"/>
      <c r="J27" s="1514"/>
      <c r="K27" s="1515"/>
      <c r="L27" s="1516" t="s">
        <v>116</v>
      </c>
      <c r="M27" s="1517" t="s">
        <v>116</v>
      </c>
      <c r="N27" s="1518" t="s">
        <v>1522</v>
      </c>
      <c r="O27" s="2671"/>
      <c r="P27" s="415"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416</v>
      </c>
      <c r="G28" s="1514">
        <v>0</v>
      </c>
      <c r="H28" s="1515">
        <v>0</v>
      </c>
      <c r="I28" s="1513">
        <v>0</v>
      </c>
      <c r="J28" s="1514">
        <v>24</v>
      </c>
      <c r="K28" s="1515">
        <v>11.5</v>
      </c>
      <c r="L28" s="1516" t="s">
        <v>702</v>
      </c>
      <c r="M28" s="1517" t="s">
        <v>116</v>
      </c>
      <c r="N28" s="1689" t="s">
        <v>116</v>
      </c>
      <c r="O28" s="2670"/>
      <c r="P28" s="415"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1524</v>
      </c>
      <c r="B29" s="1511" t="s">
        <v>151</v>
      </c>
      <c r="C29" s="1511" t="s">
        <v>163</v>
      </c>
      <c r="D29" s="1511" t="s">
        <v>145</v>
      </c>
      <c r="E29" s="1512"/>
      <c r="F29" s="1513">
        <v>35</v>
      </c>
      <c r="G29" s="1514"/>
      <c r="H29" s="1515"/>
      <c r="I29" s="1513"/>
      <c r="J29" s="1514"/>
      <c r="K29" s="1515"/>
      <c r="L29" s="1516" t="s">
        <v>116</v>
      </c>
      <c r="M29" s="1517" t="s">
        <v>116</v>
      </c>
      <c r="N29" s="1689" t="s">
        <v>1522</v>
      </c>
      <c r="O29" s="2670"/>
      <c r="P29" s="415"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514</v>
      </c>
      <c r="G30" s="1514">
        <v>0</v>
      </c>
      <c r="H30" s="1515">
        <v>0</v>
      </c>
      <c r="I30" s="1513">
        <v>0</v>
      </c>
      <c r="J30" s="1514">
        <v>30</v>
      </c>
      <c r="K30" s="1515">
        <v>9.75</v>
      </c>
      <c r="L30" s="1516" t="s">
        <v>702</v>
      </c>
      <c r="M30" s="1517" t="s">
        <v>116</v>
      </c>
      <c r="N30" s="1689" t="s">
        <v>116</v>
      </c>
      <c r="O30" s="2670"/>
      <c r="P30" s="415"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1525</v>
      </c>
      <c r="B31" s="1511" t="s">
        <v>151</v>
      </c>
      <c r="C31" s="1511" t="s">
        <v>163</v>
      </c>
      <c r="D31" s="1511" t="s">
        <v>145</v>
      </c>
      <c r="E31" s="1512"/>
      <c r="F31" s="1513">
        <v>550</v>
      </c>
      <c r="G31" s="1514">
        <v>0</v>
      </c>
      <c r="H31" s="1515">
        <v>0</v>
      </c>
      <c r="I31" s="1513">
        <v>0</v>
      </c>
      <c r="J31" s="1514">
        <v>33</v>
      </c>
      <c r="K31" s="1515">
        <v>0</v>
      </c>
      <c r="L31" s="1516" t="s">
        <v>702</v>
      </c>
      <c r="M31" s="1516" t="s">
        <v>116</v>
      </c>
      <c r="N31" s="1689" t="s">
        <v>1522</v>
      </c>
      <c r="O31" s="2670"/>
      <c r="P31" s="415"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1510" t="s">
        <v>1526</v>
      </c>
      <c r="B32" s="1511" t="s">
        <v>151</v>
      </c>
      <c r="C32" s="1511" t="s">
        <v>163</v>
      </c>
      <c r="D32" s="1511" t="s">
        <v>145</v>
      </c>
      <c r="E32" s="1512"/>
      <c r="F32" s="1513">
        <v>446</v>
      </c>
      <c r="G32" s="1514">
        <v>0</v>
      </c>
      <c r="H32" s="1515">
        <v>0</v>
      </c>
      <c r="I32" s="1513">
        <v>446</v>
      </c>
      <c r="J32" s="1514">
        <v>25</v>
      </c>
      <c r="K32" s="1515">
        <v>0</v>
      </c>
      <c r="L32" s="1516" t="s">
        <v>700</v>
      </c>
      <c r="M32" s="1516" t="s">
        <v>116</v>
      </c>
      <c r="N32" s="1689" t="s">
        <v>1522</v>
      </c>
      <c r="O32" s="2670"/>
      <c r="P32" s="415"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1510"/>
      <c r="B33" s="1511" t="s">
        <v>151</v>
      </c>
      <c r="C33" s="1511" t="s">
        <v>163</v>
      </c>
      <c r="D33" s="1511" t="s">
        <v>145</v>
      </c>
      <c r="E33" s="1512"/>
      <c r="F33" s="1513">
        <v>154</v>
      </c>
      <c r="G33" s="1514">
        <v>25</v>
      </c>
      <c r="H33" s="1515">
        <v>0</v>
      </c>
      <c r="I33" s="1513">
        <v>154</v>
      </c>
      <c r="J33" s="1514">
        <v>50</v>
      </c>
      <c r="K33" s="1515">
        <v>0</v>
      </c>
      <c r="L33" s="1516" t="s">
        <v>700</v>
      </c>
      <c r="M33" s="1516" t="s">
        <v>116</v>
      </c>
      <c r="N33" s="1689" t="s">
        <v>116</v>
      </c>
      <c r="O33" s="2670"/>
      <c r="P33" s="415"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1510" t="s">
        <v>1527</v>
      </c>
      <c r="B34" s="1511" t="s">
        <v>151</v>
      </c>
      <c r="C34" s="1511" t="s">
        <v>163</v>
      </c>
      <c r="D34" s="1511" t="s">
        <v>145</v>
      </c>
      <c r="E34" s="1512"/>
      <c r="F34" s="1513">
        <v>342</v>
      </c>
      <c r="G34" s="1514">
        <v>0</v>
      </c>
      <c r="H34" s="1515">
        <v>0</v>
      </c>
      <c r="I34" s="1513">
        <v>342</v>
      </c>
      <c r="J34" s="1514">
        <v>25</v>
      </c>
      <c r="K34" s="1515">
        <v>0</v>
      </c>
      <c r="L34" s="1516" t="s">
        <v>700</v>
      </c>
      <c r="M34" s="1516" t="s">
        <v>116</v>
      </c>
      <c r="N34" s="1689" t="s">
        <v>1522</v>
      </c>
      <c r="O34" s="2670"/>
      <c r="P34" s="415"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1510"/>
      <c r="B35" s="1511" t="s">
        <v>151</v>
      </c>
      <c r="C35" s="1511" t="s">
        <v>163</v>
      </c>
      <c r="D35" s="1511" t="s">
        <v>145</v>
      </c>
      <c r="E35" s="1512"/>
      <c r="F35" s="1513">
        <v>60</v>
      </c>
      <c r="G35" s="1514">
        <v>25</v>
      </c>
      <c r="H35" s="1515">
        <v>0</v>
      </c>
      <c r="I35" s="1513">
        <v>60</v>
      </c>
      <c r="J35" s="1514">
        <v>50</v>
      </c>
      <c r="K35" s="1515">
        <v>0</v>
      </c>
      <c r="L35" s="1516" t="s">
        <v>700</v>
      </c>
      <c r="M35" s="1516" t="s">
        <v>116</v>
      </c>
      <c r="N35" s="1689" t="s">
        <v>116</v>
      </c>
      <c r="O35" s="2670"/>
      <c r="P35" s="415"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1510" t="s">
        <v>1528</v>
      </c>
      <c r="B36" s="1511" t="s">
        <v>151</v>
      </c>
      <c r="C36" s="1511" t="s">
        <v>163</v>
      </c>
      <c r="D36" s="1511" t="s">
        <v>145</v>
      </c>
      <c r="E36" s="1512"/>
      <c r="F36" s="1513">
        <v>238</v>
      </c>
      <c r="G36" s="1514">
        <v>0</v>
      </c>
      <c r="H36" s="1515">
        <v>0</v>
      </c>
      <c r="I36" s="1513">
        <v>238</v>
      </c>
      <c r="J36" s="1514">
        <v>25</v>
      </c>
      <c r="K36" s="1515">
        <v>0</v>
      </c>
      <c r="L36" s="1516" t="s">
        <v>700</v>
      </c>
      <c r="M36" s="1516" t="s">
        <v>116</v>
      </c>
      <c r="N36" s="1689" t="s">
        <v>1522</v>
      </c>
      <c r="O36" s="2670"/>
      <c r="P36" s="415"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1510"/>
      <c r="B37" s="1511" t="s">
        <v>151</v>
      </c>
      <c r="C37" s="1511" t="s">
        <v>163</v>
      </c>
      <c r="D37" s="1511" t="s">
        <v>145</v>
      </c>
      <c r="E37" s="1512"/>
      <c r="F37" s="1513">
        <v>4</v>
      </c>
      <c r="G37" s="1514">
        <v>25</v>
      </c>
      <c r="H37" s="1515">
        <v>0</v>
      </c>
      <c r="I37" s="1513">
        <v>4</v>
      </c>
      <c r="J37" s="1514">
        <v>50</v>
      </c>
      <c r="K37" s="1515">
        <v>0</v>
      </c>
      <c r="L37" s="1516" t="s">
        <v>700</v>
      </c>
      <c r="M37" s="1516" t="s">
        <v>116</v>
      </c>
      <c r="N37" s="1689" t="s">
        <v>116</v>
      </c>
      <c r="O37" s="2670"/>
      <c r="P37" s="415"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1510" t="s">
        <v>1529</v>
      </c>
      <c r="B38" s="1511" t="s">
        <v>151</v>
      </c>
      <c r="C38" s="1511" t="s">
        <v>163</v>
      </c>
      <c r="D38" s="1511" t="s">
        <v>145</v>
      </c>
      <c r="E38" s="1512"/>
      <c r="F38" s="1513">
        <v>134</v>
      </c>
      <c r="G38" s="1514">
        <v>0</v>
      </c>
      <c r="H38" s="1515">
        <v>0</v>
      </c>
      <c r="I38" s="1513">
        <v>134</v>
      </c>
      <c r="J38" s="1514">
        <v>25</v>
      </c>
      <c r="K38" s="1515">
        <v>0</v>
      </c>
      <c r="L38" s="1516" t="s">
        <v>700</v>
      </c>
      <c r="M38" s="1516" t="s">
        <v>116</v>
      </c>
      <c r="N38" s="1689" t="s">
        <v>1522</v>
      </c>
      <c r="O38" s="2670"/>
      <c r="P38" s="415"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1510" t="s">
        <v>1530</v>
      </c>
      <c r="B39" s="1511" t="s">
        <v>151</v>
      </c>
      <c r="C39" s="1511" t="s">
        <v>163</v>
      </c>
      <c r="D39" s="1511" t="s">
        <v>145</v>
      </c>
      <c r="E39" s="1512"/>
      <c r="F39" s="1513">
        <v>35</v>
      </c>
      <c r="G39" s="1514">
        <v>0</v>
      </c>
      <c r="H39" s="1515">
        <v>0</v>
      </c>
      <c r="I39" s="1513">
        <v>35</v>
      </c>
      <c r="J39" s="1514">
        <v>25</v>
      </c>
      <c r="K39" s="1515">
        <v>0</v>
      </c>
      <c r="L39" s="1516" t="s">
        <v>700</v>
      </c>
      <c r="M39" s="1516" t="s">
        <v>116</v>
      </c>
      <c r="N39" s="1689" t="s">
        <v>1522</v>
      </c>
      <c r="O39" s="2670"/>
      <c r="P39" s="415"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1510" t="s">
        <v>1531</v>
      </c>
      <c r="B40" s="1511" t="s">
        <v>151</v>
      </c>
      <c r="C40" s="1511" t="s">
        <v>163</v>
      </c>
      <c r="D40" s="1511" t="s">
        <v>145</v>
      </c>
      <c r="E40" s="1512"/>
      <c r="F40" s="1513">
        <v>154</v>
      </c>
      <c r="G40" s="1514"/>
      <c r="H40" s="1515"/>
      <c r="I40" s="1513"/>
      <c r="J40" s="1514"/>
      <c r="K40" s="1515"/>
      <c r="L40" s="1516" t="s">
        <v>116</v>
      </c>
      <c r="M40" s="1516" t="s">
        <v>116</v>
      </c>
      <c r="N40" s="1689" t="s">
        <v>1522</v>
      </c>
      <c r="O40" s="2670"/>
      <c r="P40" s="415"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1510" t="s">
        <v>1532</v>
      </c>
      <c r="B41" s="1511" t="s">
        <v>151</v>
      </c>
      <c r="C41" s="1511" t="s">
        <v>163</v>
      </c>
      <c r="D41" s="1511" t="s">
        <v>145</v>
      </c>
      <c r="E41" s="1512"/>
      <c r="F41" s="1513">
        <v>60</v>
      </c>
      <c r="G41" s="1514"/>
      <c r="H41" s="1515"/>
      <c r="I41" s="1513"/>
      <c r="J41" s="1514"/>
      <c r="K41" s="1515"/>
      <c r="L41" s="1516" t="s">
        <v>116</v>
      </c>
      <c r="M41" s="1516" t="s">
        <v>116</v>
      </c>
      <c r="N41" s="1689" t="s">
        <v>1522</v>
      </c>
      <c r="O41" s="2670"/>
      <c r="P41" s="415"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1510" t="s">
        <v>1533</v>
      </c>
      <c r="B42" s="1511" t="s">
        <v>151</v>
      </c>
      <c r="C42" s="1511" t="s">
        <v>163</v>
      </c>
      <c r="D42" s="1511" t="s">
        <v>145</v>
      </c>
      <c r="E42" s="1512"/>
      <c r="F42" s="1513">
        <v>4</v>
      </c>
      <c r="G42" s="1514"/>
      <c r="H42" s="1515"/>
      <c r="I42" s="1513"/>
      <c r="J42" s="1514"/>
      <c r="K42" s="1515"/>
      <c r="L42" s="1516" t="s">
        <v>116</v>
      </c>
      <c r="M42" s="1516" t="s">
        <v>116</v>
      </c>
      <c r="N42" s="1689" t="s">
        <v>1522</v>
      </c>
      <c r="O42" s="2670"/>
      <c r="P42" s="415"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1510" t="s">
        <v>1534</v>
      </c>
      <c r="B43" s="1511" t="s">
        <v>151</v>
      </c>
      <c r="C43" s="1511" t="s">
        <v>163</v>
      </c>
      <c r="D43" s="1511" t="s">
        <v>145</v>
      </c>
      <c r="E43" s="1512"/>
      <c r="F43" s="1513">
        <v>249</v>
      </c>
      <c r="G43" s="1514">
        <v>0</v>
      </c>
      <c r="H43" s="1515">
        <v>0</v>
      </c>
      <c r="I43" s="1513">
        <v>0</v>
      </c>
      <c r="J43" s="1514">
        <v>16</v>
      </c>
      <c r="K43" s="1515">
        <v>4</v>
      </c>
      <c r="L43" s="1516" t="s">
        <v>702</v>
      </c>
      <c r="M43" s="1516" t="s">
        <v>116</v>
      </c>
      <c r="N43" s="1689" t="s">
        <v>1522</v>
      </c>
      <c r="O43" s="2670"/>
      <c r="P43" s="415"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1510" t="s">
        <v>1535</v>
      </c>
      <c r="B44" s="1511" t="s">
        <v>151</v>
      </c>
      <c r="C44" s="1511" t="s">
        <v>163</v>
      </c>
      <c r="D44" s="1511" t="s">
        <v>145</v>
      </c>
      <c r="E44" s="1512"/>
      <c r="F44" s="1513">
        <v>424</v>
      </c>
      <c r="G44" s="1514">
        <v>0</v>
      </c>
      <c r="H44" s="1515">
        <v>0</v>
      </c>
      <c r="I44" s="1513">
        <v>0</v>
      </c>
      <c r="J44" s="1514">
        <v>20</v>
      </c>
      <c r="K44" s="1515">
        <v>9</v>
      </c>
      <c r="L44" s="1516" t="s">
        <v>702</v>
      </c>
      <c r="M44" s="1516" t="s">
        <v>116</v>
      </c>
      <c r="N44" s="1689" t="s">
        <v>1522</v>
      </c>
      <c r="O44" s="2670"/>
      <c r="P44" s="415"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1510" t="s">
        <v>1536</v>
      </c>
      <c r="B45" s="1511" t="s">
        <v>148</v>
      </c>
      <c r="C45" s="1511" t="s">
        <v>163</v>
      </c>
      <c r="D45" s="1511" t="s">
        <v>145</v>
      </c>
      <c r="E45" s="1512"/>
      <c r="F45" s="1513">
        <v>20100</v>
      </c>
      <c r="G45" s="1514">
        <v>6</v>
      </c>
      <c r="H45" s="1515">
        <v>3.125</v>
      </c>
      <c r="I45" s="1513">
        <v>15400</v>
      </c>
      <c r="J45" s="1514">
        <v>12</v>
      </c>
      <c r="K45" s="1515">
        <v>5.875</v>
      </c>
      <c r="L45" s="1516" t="s">
        <v>702</v>
      </c>
      <c r="M45" s="1516" t="s">
        <v>116</v>
      </c>
      <c r="N45" s="1689" t="s">
        <v>1537</v>
      </c>
      <c r="O45" s="2670"/>
      <c r="P45" s="415"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1510"/>
      <c r="B46" s="1511" t="s">
        <v>148</v>
      </c>
      <c r="C46" s="1511" t="s">
        <v>163</v>
      </c>
      <c r="D46" s="1511" t="s">
        <v>145</v>
      </c>
      <c r="E46" s="1512"/>
      <c r="F46" s="1513">
        <v>10800</v>
      </c>
      <c r="G46" s="1514">
        <v>18</v>
      </c>
      <c r="H46" s="1515">
        <v>8.625</v>
      </c>
      <c r="I46" s="1513">
        <v>6100</v>
      </c>
      <c r="J46" s="1514">
        <v>24</v>
      </c>
      <c r="K46" s="1515">
        <v>11.375</v>
      </c>
      <c r="L46" s="1516" t="s">
        <v>702</v>
      </c>
      <c r="M46" s="1516" t="s">
        <v>116</v>
      </c>
      <c r="N46" s="1689" t="s">
        <v>116</v>
      </c>
      <c r="O46" s="2670"/>
      <c r="P46" s="415"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1510"/>
      <c r="B47" s="1511" t="s">
        <v>148</v>
      </c>
      <c r="C47" s="1511" t="s">
        <v>163</v>
      </c>
      <c r="D47" s="1511" t="s">
        <v>145</v>
      </c>
      <c r="E47" s="1512"/>
      <c r="F47" s="1513">
        <v>1575</v>
      </c>
      <c r="G47" s="1514">
        <v>31</v>
      </c>
      <c r="H47" s="1515">
        <v>2.125</v>
      </c>
      <c r="I47" s="1513"/>
      <c r="J47" s="1514"/>
      <c r="K47" s="1515"/>
      <c r="L47" s="1516" t="s">
        <v>702</v>
      </c>
      <c r="M47" s="1516" t="s">
        <v>116</v>
      </c>
      <c r="N47" s="1689" t="s">
        <v>116</v>
      </c>
      <c r="O47" s="2670"/>
      <c r="P47" s="415"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1510" t="s">
        <v>1538</v>
      </c>
      <c r="B48" s="1511" t="s">
        <v>148</v>
      </c>
      <c r="C48" s="1511" t="s">
        <v>163</v>
      </c>
      <c r="D48" s="1511" t="s">
        <v>145</v>
      </c>
      <c r="E48" s="1512"/>
      <c r="F48" s="1513">
        <v>7700</v>
      </c>
      <c r="G48" s="1514">
        <v>5</v>
      </c>
      <c r="H48" s="1515">
        <v>5.375</v>
      </c>
      <c r="I48" s="1513">
        <v>3000</v>
      </c>
      <c r="J48" s="1514">
        <v>11</v>
      </c>
      <c r="K48" s="1515">
        <v>8.125</v>
      </c>
      <c r="L48" s="1516" t="s">
        <v>702</v>
      </c>
      <c r="M48" s="1516" t="s">
        <v>116</v>
      </c>
      <c r="N48" s="1689" t="s">
        <v>1537</v>
      </c>
      <c r="O48" s="2670"/>
      <c r="P48" s="415"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1510"/>
      <c r="B49" s="1511" t="s">
        <v>148</v>
      </c>
      <c r="C49" s="1511" t="s">
        <v>163</v>
      </c>
      <c r="D49" s="1511" t="s">
        <v>145</v>
      </c>
      <c r="E49" s="1512"/>
      <c r="F49" s="1513">
        <v>200</v>
      </c>
      <c r="G49" s="1514">
        <v>17</v>
      </c>
      <c r="H49" s="1515">
        <v>10.875</v>
      </c>
      <c r="I49" s="1513"/>
      <c r="J49" s="1514"/>
      <c r="K49" s="1515"/>
      <c r="L49" s="1516" t="s">
        <v>702</v>
      </c>
      <c r="M49" s="1516" t="s">
        <v>116</v>
      </c>
      <c r="N49" s="1689" t="s">
        <v>116</v>
      </c>
      <c r="O49" s="2670"/>
      <c r="P49" s="415"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1510" t="s">
        <v>1539</v>
      </c>
      <c r="B50" s="1511" t="s">
        <v>157</v>
      </c>
      <c r="C50" s="1511" t="s">
        <v>167</v>
      </c>
      <c r="D50" s="1511" t="s">
        <v>145</v>
      </c>
      <c r="E50" s="1512"/>
      <c r="F50" s="1513">
        <v>20300</v>
      </c>
      <c r="G50" s="1514"/>
      <c r="H50" s="1515"/>
      <c r="I50" s="1513"/>
      <c r="J50" s="1514"/>
      <c r="K50" s="1515"/>
      <c r="L50" s="1516" t="s">
        <v>116</v>
      </c>
      <c r="M50" s="1516" t="s">
        <v>1397</v>
      </c>
      <c r="N50" s="1689" t="s">
        <v>1540</v>
      </c>
      <c r="O50" s="2670"/>
      <c r="P50" s="415"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1510" t="s">
        <v>1541</v>
      </c>
      <c r="B51" s="1511" t="s">
        <v>154</v>
      </c>
      <c r="C51" s="1511" t="s">
        <v>165</v>
      </c>
      <c r="D51" s="1511" t="s">
        <v>145</v>
      </c>
      <c r="E51" s="1512"/>
      <c r="F51" s="1513">
        <v>540</v>
      </c>
      <c r="G51" s="1514"/>
      <c r="H51" s="1515"/>
      <c r="I51" s="1513"/>
      <c r="J51" s="1514"/>
      <c r="K51" s="1515"/>
      <c r="L51" s="1516" t="s">
        <v>116</v>
      </c>
      <c r="M51" s="1516" t="s">
        <v>116</v>
      </c>
      <c r="N51" s="1689" t="s">
        <v>1542</v>
      </c>
      <c r="O51" s="2670"/>
      <c r="P51" s="415"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1510" t="s">
        <v>1543</v>
      </c>
      <c r="B52" s="1511" t="s">
        <v>154</v>
      </c>
      <c r="C52" s="1511" t="s">
        <v>165</v>
      </c>
      <c r="D52" s="1511" t="s">
        <v>145</v>
      </c>
      <c r="E52" s="1512"/>
      <c r="F52" s="1513">
        <v>1100</v>
      </c>
      <c r="G52" s="1514"/>
      <c r="H52" s="1515"/>
      <c r="I52" s="1513"/>
      <c r="J52" s="1514"/>
      <c r="K52" s="1515"/>
      <c r="L52" s="1516" t="s">
        <v>116</v>
      </c>
      <c r="M52" s="1516" t="s">
        <v>116</v>
      </c>
      <c r="N52" s="1689" t="s">
        <v>1544</v>
      </c>
      <c r="O52" s="2670"/>
      <c r="P52" s="415"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jvpXk1ZeCeGqHN7xEO0hMxmHTc7PJmfquuOqZnW1dHM/ARyjB0AYSWg0C2MDJsucD4J3C24WSeWzR0nrqasGDw==" saltValue="IqjfY0CDjEiBHnsXOFr1GA=="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97" priority="4" stopIfTrue="1">
      <formula>AND($B14="NU",F14&lt;0)</formula>
    </cfRule>
  </conditionalFormatting>
  <conditionalFormatting sqref="B14:B55">
    <cfRule type="expression" dxfId="796" priority="5" stopIfTrue="1">
      <formula>OR(AND($B14="NU",F14&lt;0),AND($B14="NU",I14&lt;0))</formula>
    </cfRule>
  </conditionalFormatting>
  <conditionalFormatting sqref="G14:H55 J14:L55">
    <cfRule type="expression" dxfId="795" priority="6" stopIfTrue="1">
      <formula>$R14</formula>
    </cfRule>
  </conditionalFormatting>
  <conditionalFormatting sqref="I2:K4">
    <cfRule type="cellIs" dxfId="794" priority="7" stopIfTrue="1" operator="equal">
      <formula>""</formula>
    </cfRule>
  </conditionalFormatting>
  <conditionalFormatting sqref="I14:I55">
    <cfRule type="expression" dxfId="793" priority="8" stopIfTrue="1">
      <formula>OR($R14,$B14="CZ",AND($B14="NU",I14&lt;0))</formula>
    </cfRule>
  </conditionalFormatting>
  <conditionalFormatting sqref="A14:A55">
    <cfRule type="expression" dxfId="792" priority="3">
      <formula>NOT($P14)</formula>
    </cfRule>
  </conditionalFormatting>
  <conditionalFormatting sqref="B14:D55">
    <cfRule type="expression" dxfId="79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90" priority="9">
      <formula>AND(NOT($P14),$T$1)</formula>
    </cfRule>
    <cfRule type="expression" dxfId="789" priority="10">
      <formula>AND($AP14,$S$1="M")</formula>
    </cfRule>
  </conditionalFormatting>
  <conditionalFormatting sqref="L14:L55">
    <cfRule type="expression" dxfId="78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opLeftCell="A7" zoomScaleNormal="100" zoomScaleSheetLayoutView="100" workbookViewId="0">
      <selection activeCell="A27" sqref="A2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1545</v>
      </c>
      <c r="B14" s="1504" t="s">
        <v>154</v>
      </c>
      <c r="C14" s="1504" t="s">
        <v>165</v>
      </c>
      <c r="D14" s="1504" t="s">
        <v>145</v>
      </c>
      <c r="E14" s="1687"/>
      <c r="F14" s="1505">
        <v>2000</v>
      </c>
      <c r="G14" s="1506"/>
      <c r="H14" s="1507"/>
      <c r="I14" s="1505"/>
      <c r="J14" s="1506"/>
      <c r="K14" s="1507"/>
      <c r="L14" s="1508" t="s">
        <v>116</v>
      </c>
      <c r="M14" s="1509" t="s">
        <v>116</v>
      </c>
      <c r="N14" s="1688" t="s">
        <v>1546</v>
      </c>
      <c r="O14" s="2670"/>
      <c r="P14" s="415"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1547</v>
      </c>
      <c r="B15" s="1511" t="s">
        <v>154</v>
      </c>
      <c r="C15" s="1511" t="s">
        <v>167</v>
      </c>
      <c r="D15" s="1511" t="s">
        <v>145</v>
      </c>
      <c r="E15" s="1512"/>
      <c r="F15" s="1513">
        <v>5400</v>
      </c>
      <c r="G15" s="1514"/>
      <c r="H15" s="1515"/>
      <c r="I15" s="1513"/>
      <c r="J15" s="1514"/>
      <c r="K15" s="1515"/>
      <c r="L15" s="1516" t="s">
        <v>116</v>
      </c>
      <c r="M15" s="1517" t="s">
        <v>1397</v>
      </c>
      <c r="N15" s="1689" t="s">
        <v>1548</v>
      </c>
      <c r="O15" s="2670"/>
      <c r="P15" s="415"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154</v>
      </c>
      <c r="C16" s="1511" t="s">
        <v>167</v>
      </c>
      <c r="D16" s="1511" t="s">
        <v>145</v>
      </c>
      <c r="E16" s="1512"/>
      <c r="F16" s="1513">
        <v>-5400</v>
      </c>
      <c r="G16" s="1514"/>
      <c r="H16" s="1515"/>
      <c r="I16" s="1513"/>
      <c r="J16" s="1514"/>
      <c r="K16" s="1515"/>
      <c r="L16" s="1516" t="s">
        <v>116</v>
      </c>
      <c r="M16" s="1517" t="s">
        <v>808</v>
      </c>
      <c r="N16" s="1689" t="s">
        <v>116</v>
      </c>
      <c r="O16" s="2670"/>
      <c r="P16" s="415"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210</v>
      </c>
      <c r="G17" s="1514"/>
      <c r="H17" s="1515"/>
      <c r="I17" s="1513"/>
      <c r="J17" s="1514"/>
      <c r="K17" s="1515"/>
      <c r="L17" s="1516" t="s">
        <v>116</v>
      </c>
      <c r="M17" s="1517" t="s">
        <v>1397</v>
      </c>
      <c r="N17" s="1689" t="s">
        <v>116</v>
      </c>
      <c r="O17" s="2670"/>
      <c r="P17" s="415"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-210</v>
      </c>
      <c r="G18" s="1514"/>
      <c r="H18" s="1515"/>
      <c r="I18" s="1513"/>
      <c r="J18" s="1514"/>
      <c r="K18" s="1515"/>
      <c r="L18" s="1516" t="s">
        <v>116</v>
      </c>
      <c r="M18" s="1517" t="s">
        <v>808</v>
      </c>
      <c r="N18" s="1689" t="s">
        <v>116</v>
      </c>
      <c r="O18" s="2670"/>
      <c r="P18" s="415"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1549</v>
      </c>
      <c r="B19" s="1511" t="s">
        <v>154</v>
      </c>
      <c r="C19" s="1511" t="s">
        <v>167</v>
      </c>
      <c r="D19" s="1511" t="s">
        <v>145</v>
      </c>
      <c r="E19" s="1512"/>
      <c r="F19" s="1513">
        <v>14500</v>
      </c>
      <c r="G19" s="1514"/>
      <c r="H19" s="1515"/>
      <c r="I19" s="1513"/>
      <c r="J19" s="1514"/>
      <c r="K19" s="1515"/>
      <c r="L19" s="1516" t="s">
        <v>116</v>
      </c>
      <c r="M19" s="1517" t="s">
        <v>1397</v>
      </c>
      <c r="N19" s="1689" t="s">
        <v>1548</v>
      </c>
      <c r="O19" s="2670"/>
      <c r="P19" s="415"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154</v>
      </c>
      <c r="C20" s="1511" t="s">
        <v>167</v>
      </c>
      <c r="D20" s="1511" t="s">
        <v>145</v>
      </c>
      <c r="E20" s="1512"/>
      <c r="F20" s="1513">
        <v>-14500</v>
      </c>
      <c r="G20" s="1514"/>
      <c r="H20" s="1515"/>
      <c r="I20" s="1513"/>
      <c r="J20" s="1514"/>
      <c r="K20" s="1515"/>
      <c r="L20" s="1516" t="s">
        <v>116</v>
      </c>
      <c r="M20" s="1517" t="s">
        <v>808</v>
      </c>
      <c r="N20" s="1518" t="s">
        <v>116</v>
      </c>
      <c r="O20" s="2671"/>
      <c r="P20" s="415"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563</v>
      </c>
      <c r="G21" s="1514"/>
      <c r="H21" s="1515"/>
      <c r="I21" s="1513"/>
      <c r="J21" s="1514"/>
      <c r="K21" s="1515"/>
      <c r="L21" s="1516" t="s">
        <v>116</v>
      </c>
      <c r="M21" s="1517" t="s">
        <v>1397</v>
      </c>
      <c r="N21" s="1518" t="s">
        <v>116</v>
      </c>
      <c r="O21" s="2671"/>
      <c r="P21" s="415"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167</v>
      </c>
      <c r="D22" s="1511" t="s">
        <v>145</v>
      </c>
      <c r="E22" s="1512"/>
      <c r="F22" s="1513">
        <v>-563</v>
      </c>
      <c r="G22" s="1514"/>
      <c r="H22" s="1515"/>
      <c r="I22" s="1513"/>
      <c r="J22" s="1514"/>
      <c r="K22" s="1515"/>
      <c r="L22" s="1516" t="s">
        <v>116</v>
      </c>
      <c r="M22" s="1517" t="s">
        <v>808</v>
      </c>
      <c r="N22" s="1518" t="s">
        <v>116</v>
      </c>
      <c r="O22" s="2671"/>
      <c r="P22" s="415"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1550</v>
      </c>
      <c r="B23" s="1511" t="s">
        <v>154</v>
      </c>
      <c r="C23" s="1511" t="s">
        <v>167</v>
      </c>
      <c r="D23" s="1511" t="s">
        <v>145</v>
      </c>
      <c r="E23" s="1512"/>
      <c r="F23" s="1513">
        <v>10400</v>
      </c>
      <c r="G23" s="1514"/>
      <c r="H23" s="1515"/>
      <c r="I23" s="1513"/>
      <c r="J23" s="1514"/>
      <c r="K23" s="1515"/>
      <c r="L23" s="1516" t="s">
        <v>116</v>
      </c>
      <c r="M23" s="1517" t="s">
        <v>1397</v>
      </c>
      <c r="N23" s="1518" t="s">
        <v>1548</v>
      </c>
      <c r="O23" s="2671"/>
      <c r="P23" s="415"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154</v>
      </c>
      <c r="C24" s="1511" t="s">
        <v>167</v>
      </c>
      <c r="D24" s="1511" t="s">
        <v>145</v>
      </c>
      <c r="E24" s="1512"/>
      <c r="F24" s="1513">
        <v>-10400</v>
      </c>
      <c r="G24" s="1514"/>
      <c r="H24" s="1515"/>
      <c r="I24" s="1513"/>
      <c r="J24" s="1514"/>
      <c r="K24" s="1515"/>
      <c r="L24" s="1516" t="s">
        <v>116</v>
      </c>
      <c r="M24" s="1517" t="s">
        <v>808</v>
      </c>
      <c r="N24" s="1518" t="s">
        <v>116</v>
      </c>
      <c r="O24" s="2671"/>
      <c r="P24" s="415"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285</v>
      </c>
      <c r="G25" s="1514"/>
      <c r="H25" s="1515"/>
      <c r="I25" s="1513"/>
      <c r="J25" s="1514"/>
      <c r="K25" s="1515"/>
      <c r="L25" s="1516" t="s">
        <v>116</v>
      </c>
      <c r="M25" s="1517" t="s">
        <v>1397</v>
      </c>
      <c r="N25" s="1518" t="s">
        <v>116</v>
      </c>
      <c r="O25" s="2671"/>
      <c r="P25" s="415"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-285</v>
      </c>
      <c r="G26" s="1514"/>
      <c r="H26" s="1515"/>
      <c r="I26" s="1513"/>
      <c r="J26" s="1514"/>
      <c r="K26" s="1515"/>
      <c r="L26" s="1516" t="s">
        <v>116</v>
      </c>
      <c r="M26" s="1517" t="s">
        <v>808</v>
      </c>
      <c r="N26" s="1518" t="s">
        <v>116</v>
      </c>
      <c r="O26" s="2671"/>
      <c r="P26" s="415"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1551</v>
      </c>
      <c r="B27" s="1511" t="s">
        <v>148</v>
      </c>
      <c r="C27" s="1511" t="s">
        <v>167</v>
      </c>
      <c r="D27" s="1511" t="s">
        <v>145</v>
      </c>
      <c r="E27" s="1512"/>
      <c r="F27" s="1513">
        <v>10800</v>
      </c>
      <c r="G27" s="1514">
        <v>6</v>
      </c>
      <c r="H27" s="1515">
        <v>2.375</v>
      </c>
      <c r="I27" s="1513"/>
      <c r="J27" s="1514"/>
      <c r="K27" s="1515"/>
      <c r="L27" s="1516" t="s">
        <v>702</v>
      </c>
      <c r="M27" s="1517" t="s">
        <v>1397</v>
      </c>
      <c r="N27" s="1518" t="s">
        <v>1552</v>
      </c>
      <c r="O27" s="2671"/>
      <c r="P27" s="415"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-10800</v>
      </c>
      <c r="G28" s="1514">
        <v>6</v>
      </c>
      <c r="H28" s="1515">
        <v>2.375</v>
      </c>
      <c r="I28" s="1513"/>
      <c r="J28" s="1514"/>
      <c r="K28" s="1515"/>
      <c r="L28" s="1516" t="s">
        <v>702</v>
      </c>
      <c r="M28" s="1517" t="s">
        <v>808</v>
      </c>
      <c r="N28" s="1689" t="s">
        <v>116</v>
      </c>
      <c r="O28" s="2670"/>
      <c r="P28" s="415"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1553</v>
      </c>
      <c r="B29" s="1511" t="s">
        <v>148</v>
      </c>
      <c r="C29" s="1511" t="s">
        <v>167</v>
      </c>
      <c r="D29" s="1511" t="s">
        <v>145</v>
      </c>
      <c r="E29" s="1512"/>
      <c r="F29" s="1513">
        <v>19900</v>
      </c>
      <c r="G29" s="1514">
        <v>6</v>
      </c>
      <c r="H29" s="1515">
        <v>2.375</v>
      </c>
      <c r="I29" s="1513"/>
      <c r="J29" s="1514"/>
      <c r="K29" s="1515"/>
      <c r="L29" s="1516" t="s">
        <v>702</v>
      </c>
      <c r="M29" s="1517" t="s">
        <v>1397</v>
      </c>
      <c r="N29" s="1689" t="s">
        <v>1552</v>
      </c>
      <c r="O29" s="2670"/>
      <c r="P29" s="415"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-19900</v>
      </c>
      <c r="G30" s="1514">
        <v>6</v>
      </c>
      <c r="H30" s="1515">
        <v>2.375</v>
      </c>
      <c r="I30" s="1513"/>
      <c r="J30" s="1514"/>
      <c r="K30" s="1515"/>
      <c r="L30" s="1516" t="s">
        <v>702</v>
      </c>
      <c r="M30" s="1517" t="s">
        <v>808</v>
      </c>
      <c r="N30" s="1689" t="s">
        <v>116</v>
      </c>
      <c r="O30" s="2670"/>
      <c r="P30" s="415"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1554</v>
      </c>
      <c r="B31" s="1511" t="s">
        <v>148</v>
      </c>
      <c r="C31" s="1511" t="s">
        <v>167</v>
      </c>
      <c r="D31" s="1511" t="s">
        <v>145</v>
      </c>
      <c r="E31" s="1512"/>
      <c r="F31" s="1513">
        <v>15800</v>
      </c>
      <c r="G31" s="1514">
        <v>6</v>
      </c>
      <c r="H31" s="1515">
        <v>2.375</v>
      </c>
      <c r="I31" s="1513"/>
      <c r="J31" s="1514"/>
      <c r="K31" s="1515"/>
      <c r="L31" s="1516" t="s">
        <v>702</v>
      </c>
      <c r="M31" s="1516" t="s">
        <v>1397</v>
      </c>
      <c r="N31" s="1689" t="s">
        <v>1552</v>
      </c>
      <c r="O31" s="2670"/>
      <c r="P31" s="415"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1510"/>
      <c r="B32" s="1511" t="s">
        <v>148</v>
      </c>
      <c r="C32" s="1511" t="s">
        <v>167</v>
      </c>
      <c r="D32" s="1511" t="s">
        <v>145</v>
      </c>
      <c r="E32" s="1512"/>
      <c r="F32" s="1513">
        <v>-15800</v>
      </c>
      <c r="G32" s="1514">
        <v>6</v>
      </c>
      <c r="H32" s="1515">
        <v>2.375</v>
      </c>
      <c r="I32" s="1513"/>
      <c r="J32" s="1514"/>
      <c r="K32" s="1515"/>
      <c r="L32" s="1516" t="s">
        <v>702</v>
      </c>
      <c r="M32" s="1516" t="s">
        <v>808</v>
      </c>
      <c r="N32" s="1689" t="s">
        <v>116</v>
      </c>
      <c r="O32" s="2670"/>
      <c r="P32" s="415"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1510" t="s">
        <v>1555</v>
      </c>
      <c r="B33" s="1511" t="s">
        <v>154</v>
      </c>
      <c r="C33" s="1511" t="s">
        <v>167</v>
      </c>
      <c r="D33" s="1511" t="s">
        <v>145</v>
      </c>
      <c r="E33" s="1512"/>
      <c r="F33" s="1513">
        <v>1059</v>
      </c>
      <c r="G33" s="1514"/>
      <c r="H33" s="1515"/>
      <c r="I33" s="1513"/>
      <c r="J33" s="1514"/>
      <c r="K33" s="1515"/>
      <c r="L33" s="1516" t="s">
        <v>116</v>
      </c>
      <c r="M33" s="1516" t="s">
        <v>1397</v>
      </c>
      <c r="N33" s="1689" t="s">
        <v>1556</v>
      </c>
      <c r="O33" s="2670"/>
      <c r="P33" s="415"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1510"/>
      <c r="B34" s="1511" t="s">
        <v>154</v>
      </c>
      <c r="C34" s="1511" t="s">
        <v>167</v>
      </c>
      <c r="D34" s="1511" t="s">
        <v>145</v>
      </c>
      <c r="E34" s="1512"/>
      <c r="F34" s="1513">
        <v>-1059</v>
      </c>
      <c r="G34" s="1514"/>
      <c r="H34" s="1515"/>
      <c r="I34" s="1513"/>
      <c r="J34" s="1514"/>
      <c r="K34" s="1515"/>
      <c r="L34" s="1516" t="s">
        <v>116</v>
      </c>
      <c r="M34" s="1516" t="s">
        <v>808</v>
      </c>
      <c r="N34" s="1689" t="s">
        <v>116</v>
      </c>
      <c r="O34" s="2670"/>
      <c r="P34" s="415"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1510"/>
      <c r="B35" s="1511" t="s">
        <v>151</v>
      </c>
      <c r="C35" s="1511" t="s">
        <v>167</v>
      </c>
      <c r="D35" s="1511" t="s">
        <v>145</v>
      </c>
      <c r="E35" s="1512"/>
      <c r="F35" s="1513">
        <v>8</v>
      </c>
      <c r="G35" s="1514"/>
      <c r="H35" s="1515"/>
      <c r="I35" s="1513"/>
      <c r="J35" s="1514"/>
      <c r="K35" s="1515"/>
      <c r="L35" s="1516" t="s">
        <v>116</v>
      </c>
      <c r="M35" s="1516" t="s">
        <v>1397</v>
      </c>
      <c r="N35" s="1689" t="s">
        <v>116</v>
      </c>
      <c r="O35" s="2670"/>
      <c r="P35" s="415"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1510"/>
      <c r="B36" s="1511" t="s">
        <v>151</v>
      </c>
      <c r="C36" s="1511" t="s">
        <v>167</v>
      </c>
      <c r="D36" s="1511" t="s">
        <v>145</v>
      </c>
      <c r="E36" s="1512"/>
      <c r="F36" s="1513">
        <v>-8</v>
      </c>
      <c r="G36" s="1514"/>
      <c r="H36" s="1515"/>
      <c r="I36" s="1513"/>
      <c r="J36" s="1514"/>
      <c r="K36" s="1515"/>
      <c r="L36" s="1516" t="s">
        <v>116</v>
      </c>
      <c r="M36" s="1516" t="s">
        <v>808</v>
      </c>
      <c r="N36" s="1689" t="s">
        <v>116</v>
      </c>
      <c r="O36" s="2670"/>
      <c r="P36" s="415"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1510"/>
      <c r="B37" s="1511" t="s">
        <v>157</v>
      </c>
      <c r="C37" s="1511" t="s">
        <v>167</v>
      </c>
      <c r="D37" s="1511" t="s">
        <v>145</v>
      </c>
      <c r="E37" s="1512"/>
      <c r="F37" s="1513">
        <v>1568</v>
      </c>
      <c r="G37" s="1514"/>
      <c r="H37" s="1515"/>
      <c r="I37" s="1513"/>
      <c r="J37" s="1514"/>
      <c r="K37" s="1515"/>
      <c r="L37" s="1516" t="s">
        <v>116</v>
      </c>
      <c r="M37" s="1516" t="s">
        <v>1397</v>
      </c>
      <c r="N37" s="1689" t="s">
        <v>116</v>
      </c>
      <c r="O37" s="2670"/>
      <c r="P37" s="415"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1510"/>
      <c r="B38" s="1511" t="s">
        <v>151</v>
      </c>
      <c r="C38" s="1511" t="s">
        <v>165</v>
      </c>
      <c r="D38" s="1511" t="s">
        <v>145</v>
      </c>
      <c r="E38" s="1512"/>
      <c r="F38" s="1513">
        <v>24</v>
      </c>
      <c r="G38" s="1514"/>
      <c r="H38" s="1515"/>
      <c r="I38" s="1513"/>
      <c r="J38" s="1514"/>
      <c r="K38" s="1515"/>
      <c r="L38" s="1516" t="s">
        <v>116</v>
      </c>
      <c r="M38" s="1516" t="s">
        <v>116</v>
      </c>
      <c r="N38" s="1689" t="s">
        <v>116</v>
      </c>
      <c r="O38" s="2670"/>
      <c r="P38" s="415"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1510" t="s">
        <v>1557</v>
      </c>
      <c r="B39" s="1511" t="s">
        <v>154</v>
      </c>
      <c r="C39" s="1511" t="s">
        <v>167</v>
      </c>
      <c r="D39" s="1511" t="s">
        <v>145</v>
      </c>
      <c r="E39" s="1512"/>
      <c r="F39" s="1513">
        <v>1592</v>
      </c>
      <c r="G39" s="1514"/>
      <c r="H39" s="1515"/>
      <c r="I39" s="1513"/>
      <c r="J39" s="1514"/>
      <c r="K39" s="1515"/>
      <c r="L39" s="1516" t="s">
        <v>116</v>
      </c>
      <c r="M39" s="1516" t="s">
        <v>1397</v>
      </c>
      <c r="N39" s="1689" t="s">
        <v>1558</v>
      </c>
      <c r="O39" s="2670"/>
      <c r="P39" s="415"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1510"/>
      <c r="B40" s="1511" t="s">
        <v>154</v>
      </c>
      <c r="C40" s="1511" t="s">
        <v>167</v>
      </c>
      <c r="D40" s="1511" t="s">
        <v>145</v>
      </c>
      <c r="E40" s="1512"/>
      <c r="F40" s="1513">
        <v>-1592</v>
      </c>
      <c r="G40" s="1514"/>
      <c r="H40" s="1515"/>
      <c r="I40" s="1513"/>
      <c r="J40" s="1514"/>
      <c r="K40" s="1515"/>
      <c r="L40" s="1516" t="s">
        <v>116</v>
      </c>
      <c r="M40" s="1516" t="s">
        <v>808</v>
      </c>
      <c r="N40" s="1689" t="s">
        <v>116</v>
      </c>
      <c r="O40" s="2670"/>
      <c r="P40" s="415"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1510"/>
      <c r="B41" s="1511" t="s">
        <v>154</v>
      </c>
      <c r="C41" s="1511" t="s">
        <v>165</v>
      </c>
      <c r="D41" s="1511" t="s">
        <v>145</v>
      </c>
      <c r="E41" s="1512"/>
      <c r="F41" s="1513">
        <v>1320</v>
      </c>
      <c r="G41" s="1514"/>
      <c r="H41" s="1515"/>
      <c r="I41" s="1513"/>
      <c r="J41" s="1514"/>
      <c r="K41" s="1515"/>
      <c r="L41" s="1516" t="s">
        <v>116</v>
      </c>
      <c r="M41" s="1516" t="s">
        <v>116</v>
      </c>
      <c r="N41" s="1689" t="s">
        <v>116</v>
      </c>
      <c r="O41" s="2670"/>
      <c r="P41" s="415"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1510" t="s">
        <v>1559</v>
      </c>
      <c r="B42" s="1511" t="s">
        <v>154</v>
      </c>
      <c r="C42" s="1511" t="s">
        <v>167</v>
      </c>
      <c r="D42" s="1511" t="s">
        <v>145</v>
      </c>
      <c r="E42" s="1512"/>
      <c r="F42" s="1513">
        <v>1592</v>
      </c>
      <c r="G42" s="1514"/>
      <c r="H42" s="1515"/>
      <c r="I42" s="1513"/>
      <c r="J42" s="1514"/>
      <c r="K42" s="1515"/>
      <c r="L42" s="1516" t="s">
        <v>116</v>
      </c>
      <c r="M42" s="1516" t="s">
        <v>1397</v>
      </c>
      <c r="N42" s="1689" t="s">
        <v>1558</v>
      </c>
      <c r="O42" s="2670"/>
      <c r="P42" s="415"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1510"/>
      <c r="B43" s="1511" t="s">
        <v>154</v>
      </c>
      <c r="C43" s="1511" t="s">
        <v>167</v>
      </c>
      <c r="D43" s="1511" t="s">
        <v>145</v>
      </c>
      <c r="E43" s="1512"/>
      <c r="F43" s="1513">
        <v>-1592</v>
      </c>
      <c r="G43" s="1514"/>
      <c r="H43" s="1515"/>
      <c r="I43" s="1513"/>
      <c r="J43" s="1514"/>
      <c r="K43" s="1515"/>
      <c r="L43" s="1516" t="s">
        <v>116</v>
      </c>
      <c r="M43" s="1516" t="s">
        <v>808</v>
      </c>
      <c r="N43" s="1689" t="s">
        <v>116</v>
      </c>
      <c r="O43" s="2670"/>
      <c r="P43" s="415"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1510"/>
      <c r="B44" s="1511" t="s">
        <v>148</v>
      </c>
      <c r="C44" s="1511" t="s">
        <v>165</v>
      </c>
      <c r="D44" s="1511" t="s">
        <v>145</v>
      </c>
      <c r="E44" s="1512"/>
      <c r="F44" s="1513">
        <v>1320</v>
      </c>
      <c r="G44" s="1514">
        <v>43</v>
      </c>
      <c r="H44" s="1515">
        <v>6.875</v>
      </c>
      <c r="I44" s="1513">
        <v>1320</v>
      </c>
      <c r="J44" s="1514">
        <v>49</v>
      </c>
      <c r="K44" s="1515">
        <v>9.625</v>
      </c>
      <c r="L44" s="1516" t="s">
        <v>700</v>
      </c>
      <c r="M44" s="1516" t="s">
        <v>116</v>
      </c>
      <c r="N44" s="1689" t="s">
        <v>116</v>
      </c>
      <c r="O44" s="2670"/>
      <c r="P44" s="415"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1510" t="s">
        <v>1560</v>
      </c>
      <c r="B45" s="1511" t="s">
        <v>146</v>
      </c>
      <c r="C45" s="1511" t="s">
        <v>167</v>
      </c>
      <c r="D45" s="1511" t="s">
        <v>145</v>
      </c>
      <c r="E45" s="1512"/>
      <c r="F45" s="1513">
        <v>3136</v>
      </c>
      <c r="G45" s="1514">
        <v>3</v>
      </c>
      <c r="H45" s="1515">
        <v>0</v>
      </c>
      <c r="I45" s="1513"/>
      <c r="J45" s="1514"/>
      <c r="K45" s="1515"/>
      <c r="L45" s="1516" t="s">
        <v>702</v>
      </c>
      <c r="M45" s="1516" t="s">
        <v>1397</v>
      </c>
      <c r="N45" s="1689" t="s">
        <v>1561</v>
      </c>
      <c r="O45" s="2670"/>
      <c r="P45" s="415"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1510"/>
      <c r="B46" s="1511" t="s">
        <v>146</v>
      </c>
      <c r="C46" s="1511" t="s">
        <v>167</v>
      </c>
      <c r="D46" s="1511" t="s">
        <v>145</v>
      </c>
      <c r="E46" s="1512"/>
      <c r="F46" s="1513">
        <v>-3136</v>
      </c>
      <c r="G46" s="1514">
        <v>3</v>
      </c>
      <c r="H46" s="1515">
        <v>0</v>
      </c>
      <c r="I46" s="1513"/>
      <c r="J46" s="1514"/>
      <c r="K46" s="1515"/>
      <c r="L46" s="1516" t="s">
        <v>702</v>
      </c>
      <c r="M46" s="1516" t="s">
        <v>808</v>
      </c>
      <c r="N46" s="1689" t="s">
        <v>116</v>
      </c>
      <c r="O46" s="2670"/>
      <c r="P46" s="415"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1510"/>
      <c r="B47" s="1511" t="s">
        <v>157</v>
      </c>
      <c r="C47" s="1511" t="s">
        <v>167</v>
      </c>
      <c r="D47" s="1511" t="s">
        <v>145</v>
      </c>
      <c r="E47" s="1512"/>
      <c r="F47" s="1513">
        <v>1568</v>
      </c>
      <c r="G47" s="1514"/>
      <c r="H47" s="1515"/>
      <c r="I47" s="1513"/>
      <c r="J47" s="1514"/>
      <c r="K47" s="1515"/>
      <c r="L47" s="1516" t="s">
        <v>116</v>
      </c>
      <c r="M47" s="1516" t="s">
        <v>1397</v>
      </c>
      <c r="N47" s="1689" t="s">
        <v>116</v>
      </c>
      <c r="O47" s="2670"/>
      <c r="P47" s="415"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1510"/>
      <c r="B48" s="1511" t="s">
        <v>146</v>
      </c>
      <c r="C48" s="2672" t="s">
        <v>165</v>
      </c>
      <c r="D48" s="1511" t="s">
        <v>145</v>
      </c>
      <c r="E48" s="1512"/>
      <c r="F48" s="1513">
        <v>300</v>
      </c>
      <c r="G48" s="1514">
        <v>3</v>
      </c>
      <c r="H48" s="1515">
        <v>0</v>
      </c>
      <c r="I48" s="1513"/>
      <c r="J48" s="1514"/>
      <c r="K48" s="1515"/>
      <c r="L48" s="1516" t="s">
        <v>702</v>
      </c>
      <c r="M48" s="1516" t="s">
        <v>116</v>
      </c>
      <c r="N48" s="1689" t="s">
        <v>116</v>
      </c>
      <c r="O48" s="2670"/>
      <c r="P48" s="415"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1510" t="s">
        <v>1562</v>
      </c>
      <c r="B49" s="1511" t="s">
        <v>146</v>
      </c>
      <c r="C49" s="1511" t="s">
        <v>167</v>
      </c>
      <c r="D49" s="1511" t="s">
        <v>145</v>
      </c>
      <c r="E49" s="1512"/>
      <c r="F49" s="1513">
        <v>1568</v>
      </c>
      <c r="G49" s="1514">
        <v>18</v>
      </c>
      <c r="H49" s="1515">
        <v>0</v>
      </c>
      <c r="I49" s="1513"/>
      <c r="J49" s="1514"/>
      <c r="K49" s="1515"/>
      <c r="L49" s="1516" t="s">
        <v>700</v>
      </c>
      <c r="M49" s="1516" t="s">
        <v>1397</v>
      </c>
      <c r="N49" s="1689" t="s">
        <v>1561</v>
      </c>
      <c r="O49" s="2670"/>
      <c r="P49" s="415"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1510"/>
      <c r="B50" s="1511" t="s">
        <v>146</v>
      </c>
      <c r="C50" s="1511" t="s">
        <v>167</v>
      </c>
      <c r="D50" s="1511" t="s">
        <v>145</v>
      </c>
      <c r="E50" s="1512"/>
      <c r="F50" s="1513">
        <v>-1568</v>
      </c>
      <c r="G50" s="1514">
        <v>18</v>
      </c>
      <c r="H50" s="1515">
        <v>0</v>
      </c>
      <c r="I50" s="1513"/>
      <c r="J50" s="1514"/>
      <c r="K50" s="1515"/>
      <c r="L50" s="1516" t="s">
        <v>700</v>
      </c>
      <c r="M50" s="1516" t="s">
        <v>808</v>
      </c>
      <c r="N50" s="1689" t="s">
        <v>116</v>
      </c>
      <c r="O50" s="2670"/>
      <c r="P50" s="415"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1510"/>
      <c r="B51" s="1511" t="s">
        <v>157</v>
      </c>
      <c r="C51" s="1511" t="s">
        <v>167</v>
      </c>
      <c r="D51" s="1511" t="s">
        <v>145</v>
      </c>
      <c r="E51" s="1512"/>
      <c r="F51" s="1513">
        <v>1568</v>
      </c>
      <c r="G51" s="1514"/>
      <c r="H51" s="1515"/>
      <c r="I51" s="1513"/>
      <c r="J51" s="1514"/>
      <c r="K51" s="1515"/>
      <c r="L51" s="1516" t="s">
        <v>116</v>
      </c>
      <c r="M51" s="1516" t="s">
        <v>1397</v>
      </c>
      <c r="N51" s="1689" t="s">
        <v>116</v>
      </c>
      <c r="O51" s="2670"/>
      <c r="P51" s="415"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1510"/>
      <c r="B52" s="1511" t="s">
        <v>146</v>
      </c>
      <c r="C52" s="2672" t="s">
        <v>165</v>
      </c>
      <c r="D52" s="1511" t="s">
        <v>145</v>
      </c>
      <c r="E52" s="1512"/>
      <c r="F52" s="1513">
        <v>150</v>
      </c>
      <c r="G52" s="1514">
        <v>18</v>
      </c>
      <c r="H52" s="1515">
        <v>0</v>
      </c>
      <c r="I52" s="1513"/>
      <c r="J52" s="1514"/>
      <c r="K52" s="1515"/>
      <c r="L52" s="1516" t="s">
        <v>700</v>
      </c>
      <c r="M52" s="1516" t="s">
        <v>116</v>
      </c>
      <c r="N52" s="1689" t="s">
        <v>116</v>
      </c>
      <c r="O52" s="2670"/>
      <c r="P52" s="415"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SFmLFMPIn+5o59mgnkhK4Bfj6xlob9w7JuTZrUJ+0a7c+OsLIvd1tAXpTmI8lxfaO2b2X1un+F1kWNG626FhUQ==" saltValue="ZGrYt/PgroRLSCzOkGNf7g=="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87" priority="4" stopIfTrue="1">
      <formula>AND($B14="NU",F14&lt;0)</formula>
    </cfRule>
  </conditionalFormatting>
  <conditionalFormatting sqref="B14:B55">
    <cfRule type="expression" dxfId="786" priority="5" stopIfTrue="1">
      <formula>OR(AND($B14="NU",F14&lt;0),AND($B14="NU",I14&lt;0))</formula>
    </cfRule>
  </conditionalFormatting>
  <conditionalFormatting sqref="G14:H55 J14:L55">
    <cfRule type="expression" dxfId="785" priority="6" stopIfTrue="1">
      <formula>$R14</formula>
    </cfRule>
  </conditionalFormatting>
  <conditionalFormatting sqref="I2:K4">
    <cfRule type="cellIs" dxfId="784" priority="7" stopIfTrue="1" operator="equal">
      <formula>""</formula>
    </cfRule>
  </conditionalFormatting>
  <conditionalFormatting sqref="I14:I55">
    <cfRule type="expression" dxfId="783" priority="8" stopIfTrue="1">
      <formula>OR($R14,$B14="CZ",AND($B14="NU",I14&lt;0))</formula>
    </cfRule>
  </conditionalFormatting>
  <conditionalFormatting sqref="A14:A55">
    <cfRule type="expression" dxfId="782" priority="3">
      <formula>NOT($P14)</formula>
    </cfRule>
  </conditionalFormatting>
  <conditionalFormatting sqref="B14:D55">
    <cfRule type="expression" dxfId="78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80" priority="9">
      <formula>AND(NOT($P14),$T$1)</formula>
    </cfRule>
    <cfRule type="expression" dxfId="779" priority="10">
      <formula>AND($AP14,$S$1="M")</formula>
    </cfRule>
  </conditionalFormatting>
  <conditionalFormatting sqref="L14:L55">
    <cfRule type="expression" dxfId="77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1563</v>
      </c>
      <c r="B14" s="1504" t="s">
        <v>146</v>
      </c>
      <c r="C14" s="1504" t="s">
        <v>167</v>
      </c>
      <c r="D14" s="1504" t="s">
        <v>145</v>
      </c>
      <c r="E14" s="1687"/>
      <c r="F14" s="1505">
        <v>3136</v>
      </c>
      <c r="G14" s="1506">
        <v>3</v>
      </c>
      <c r="H14" s="1507">
        <v>0</v>
      </c>
      <c r="I14" s="1505"/>
      <c r="J14" s="1506"/>
      <c r="K14" s="1507"/>
      <c r="L14" s="1508" t="s">
        <v>702</v>
      </c>
      <c r="M14" s="1509" t="s">
        <v>1397</v>
      </c>
      <c r="N14" s="1688" t="s">
        <v>1561</v>
      </c>
      <c r="O14" s="2670"/>
      <c r="P14" s="415"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146</v>
      </c>
      <c r="C15" s="1511" t="s">
        <v>167</v>
      </c>
      <c r="D15" s="1511" t="s">
        <v>145</v>
      </c>
      <c r="E15" s="1512"/>
      <c r="F15" s="1513">
        <v>-3136</v>
      </c>
      <c r="G15" s="1514">
        <v>3</v>
      </c>
      <c r="H15" s="1515">
        <v>0</v>
      </c>
      <c r="I15" s="1513"/>
      <c r="J15" s="1514"/>
      <c r="K15" s="1515"/>
      <c r="L15" s="1516" t="s">
        <v>702</v>
      </c>
      <c r="M15" s="1517" t="s">
        <v>808</v>
      </c>
      <c r="N15" s="1689" t="s">
        <v>116</v>
      </c>
      <c r="O15" s="2670"/>
      <c r="P15" s="415"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157</v>
      </c>
      <c r="C16" s="1511" t="s">
        <v>167</v>
      </c>
      <c r="D16" s="1511" t="s">
        <v>145</v>
      </c>
      <c r="E16" s="1512"/>
      <c r="F16" s="1513">
        <v>1568</v>
      </c>
      <c r="G16" s="1514"/>
      <c r="H16" s="1515"/>
      <c r="I16" s="1513"/>
      <c r="J16" s="1514"/>
      <c r="K16" s="1515"/>
      <c r="L16" s="1516" t="s">
        <v>116</v>
      </c>
      <c r="M16" s="1517" t="s">
        <v>1397</v>
      </c>
      <c r="N16" s="1689" t="s">
        <v>116</v>
      </c>
      <c r="O16" s="2670"/>
      <c r="P16" s="415"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146</v>
      </c>
      <c r="C17" s="2672" t="s">
        <v>165</v>
      </c>
      <c r="D17" s="1511" t="s">
        <v>145</v>
      </c>
      <c r="E17" s="1512"/>
      <c r="F17" s="1513">
        <v>600</v>
      </c>
      <c r="G17" s="1514">
        <v>3</v>
      </c>
      <c r="H17" s="1515">
        <v>0</v>
      </c>
      <c r="I17" s="1513"/>
      <c r="J17" s="1514"/>
      <c r="K17" s="1515"/>
      <c r="L17" s="1516" t="s">
        <v>702</v>
      </c>
      <c r="M17" s="1517" t="s">
        <v>116</v>
      </c>
      <c r="N17" s="1689" t="s">
        <v>116</v>
      </c>
      <c r="O17" s="2670"/>
      <c r="P17" s="415"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2670"/>
      <c r="P18" s="415"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2670"/>
      <c r="P19" s="415"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2671"/>
      <c r="P20" s="415"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2671"/>
      <c r="P21" s="415"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2671"/>
      <c r="P22" s="415"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2671"/>
      <c r="P23" s="415"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2671"/>
      <c r="P24" s="415"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2671"/>
      <c r="P25" s="415"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2671"/>
      <c r="P26" s="415"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2671"/>
      <c r="P27" s="415"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2670"/>
      <c r="P28" s="415"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2670"/>
      <c r="P29" s="415"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2670"/>
      <c r="P30" s="415"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2670"/>
      <c r="P31" s="415"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1510"/>
      <c r="B32" s="1511"/>
      <c r="C32" s="1511"/>
      <c r="D32" s="1511"/>
      <c r="E32" s="1512"/>
      <c r="F32" s="1513"/>
      <c r="G32" s="1514"/>
      <c r="H32" s="1515"/>
      <c r="I32" s="1513"/>
      <c r="J32" s="1514"/>
      <c r="K32" s="1515"/>
      <c r="L32" s="1516"/>
      <c r="M32" s="1516"/>
      <c r="N32" s="1689" t="s">
        <v>116</v>
      </c>
      <c r="O32" s="2670"/>
      <c r="P32" s="415"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1510"/>
      <c r="B33" s="1511"/>
      <c r="C33" s="1511"/>
      <c r="D33" s="1511"/>
      <c r="E33" s="1512"/>
      <c r="F33" s="1513"/>
      <c r="G33" s="1514"/>
      <c r="H33" s="1515"/>
      <c r="I33" s="1513"/>
      <c r="J33" s="1514"/>
      <c r="K33" s="1515"/>
      <c r="L33" s="1516"/>
      <c r="M33" s="1516"/>
      <c r="N33" s="1689" t="s">
        <v>116</v>
      </c>
      <c r="O33" s="2670"/>
      <c r="P33" s="415"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1510"/>
      <c r="B34" s="1511"/>
      <c r="C34" s="1511"/>
      <c r="D34" s="1511"/>
      <c r="E34" s="1512"/>
      <c r="F34" s="1513"/>
      <c r="G34" s="1514"/>
      <c r="H34" s="1515"/>
      <c r="I34" s="1513"/>
      <c r="J34" s="1514"/>
      <c r="K34" s="1515"/>
      <c r="L34" s="1516"/>
      <c r="M34" s="1516"/>
      <c r="N34" s="1689" t="s">
        <v>116</v>
      </c>
      <c r="O34" s="2670"/>
      <c r="P34" s="415"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1510"/>
      <c r="B35" s="1511"/>
      <c r="C35" s="1511"/>
      <c r="D35" s="1511"/>
      <c r="E35" s="1512"/>
      <c r="F35" s="1513"/>
      <c r="G35" s="1514"/>
      <c r="H35" s="1515"/>
      <c r="I35" s="1513"/>
      <c r="J35" s="1514"/>
      <c r="K35" s="1515"/>
      <c r="L35" s="1516"/>
      <c r="M35" s="1516"/>
      <c r="N35" s="1689" t="s">
        <v>116</v>
      </c>
      <c r="O35" s="2670"/>
      <c r="P35" s="415"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1510"/>
      <c r="B36" s="1511"/>
      <c r="C36" s="1511"/>
      <c r="D36" s="1511"/>
      <c r="E36" s="1512"/>
      <c r="F36" s="1513"/>
      <c r="G36" s="1514"/>
      <c r="H36" s="1515"/>
      <c r="I36" s="1513"/>
      <c r="J36" s="1514"/>
      <c r="K36" s="1515"/>
      <c r="L36" s="1516"/>
      <c r="M36" s="1516"/>
      <c r="N36" s="1689" t="s">
        <v>116</v>
      </c>
      <c r="O36" s="2670"/>
      <c r="P36" s="415"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1510"/>
      <c r="B37" s="1511"/>
      <c r="C37" s="1511"/>
      <c r="D37" s="1511"/>
      <c r="E37" s="1512"/>
      <c r="F37" s="1513"/>
      <c r="G37" s="1514"/>
      <c r="H37" s="1515"/>
      <c r="I37" s="1513"/>
      <c r="J37" s="1514"/>
      <c r="K37" s="1515"/>
      <c r="L37" s="1516"/>
      <c r="M37" s="1516"/>
      <c r="N37" s="1689" t="s">
        <v>116</v>
      </c>
      <c r="O37" s="2670"/>
      <c r="P37" s="415"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1510"/>
      <c r="B38" s="1511"/>
      <c r="C38" s="1511"/>
      <c r="D38" s="1511"/>
      <c r="E38" s="1512"/>
      <c r="F38" s="1513"/>
      <c r="G38" s="1514"/>
      <c r="H38" s="1515"/>
      <c r="I38" s="1513"/>
      <c r="J38" s="1514"/>
      <c r="K38" s="1515"/>
      <c r="L38" s="1516"/>
      <c r="M38" s="1516"/>
      <c r="N38" s="1689" t="s">
        <v>116</v>
      </c>
      <c r="O38" s="2670"/>
      <c r="P38" s="415"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1510"/>
      <c r="B39" s="1511"/>
      <c r="C39" s="1511"/>
      <c r="D39" s="1511"/>
      <c r="E39" s="1512"/>
      <c r="F39" s="1513"/>
      <c r="G39" s="1514"/>
      <c r="H39" s="1515"/>
      <c r="I39" s="1513"/>
      <c r="J39" s="1514"/>
      <c r="K39" s="1515"/>
      <c r="L39" s="1516"/>
      <c r="M39" s="1516"/>
      <c r="N39" s="1689" t="s">
        <v>116</v>
      </c>
      <c r="O39" s="2670"/>
      <c r="P39" s="415"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1510"/>
      <c r="B40" s="1511"/>
      <c r="C40" s="1511"/>
      <c r="D40" s="1511"/>
      <c r="E40" s="1512"/>
      <c r="F40" s="1513"/>
      <c r="G40" s="1514"/>
      <c r="H40" s="1515"/>
      <c r="I40" s="1513"/>
      <c r="J40" s="1514"/>
      <c r="K40" s="1515"/>
      <c r="L40" s="1516"/>
      <c r="M40" s="1516"/>
      <c r="N40" s="1689" t="s">
        <v>116</v>
      </c>
      <c r="O40" s="2670"/>
      <c r="P40" s="415"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1510"/>
      <c r="B41" s="1511"/>
      <c r="C41" s="1511"/>
      <c r="D41" s="1511"/>
      <c r="E41" s="1512"/>
      <c r="F41" s="1513"/>
      <c r="G41" s="1514"/>
      <c r="H41" s="1515"/>
      <c r="I41" s="1513"/>
      <c r="J41" s="1514"/>
      <c r="K41" s="1515"/>
      <c r="L41" s="1516"/>
      <c r="M41" s="1516"/>
      <c r="N41" s="1689" t="s">
        <v>116</v>
      </c>
      <c r="O41" s="2670"/>
      <c r="P41" s="415"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1510"/>
      <c r="B42" s="1511"/>
      <c r="C42" s="1511"/>
      <c r="D42" s="1511"/>
      <c r="E42" s="1512"/>
      <c r="F42" s="1513"/>
      <c r="G42" s="1514"/>
      <c r="H42" s="1515"/>
      <c r="I42" s="1513"/>
      <c r="J42" s="1514"/>
      <c r="K42" s="1515"/>
      <c r="L42" s="1516"/>
      <c r="M42" s="1516"/>
      <c r="N42" s="1689" t="s">
        <v>116</v>
      </c>
      <c r="O42" s="2670"/>
      <c r="P42" s="415"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1510"/>
      <c r="B43" s="1511"/>
      <c r="C43" s="1511"/>
      <c r="D43" s="1511"/>
      <c r="E43" s="1512"/>
      <c r="F43" s="1513"/>
      <c r="G43" s="1514"/>
      <c r="H43" s="1515"/>
      <c r="I43" s="1513"/>
      <c r="J43" s="1514"/>
      <c r="K43" s="1515"/>
      <c r="L43" s="1516"/>
      <c r="M43" s="1516"/>
      <c r="N43" s="1689" t="s">
        <v>116</v>
      </c>
      <c r="O43" s="2670"/>
      <c r="P43" s="415"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1510"/>
      <c r="B44" s="1511"/>
      <c r="C44" s="1511"/>
      <c r="D44" s="1511"/>
      <c r="E44" s="1512"/>
      <c r="F44" s="1513"/>
      <c r="G44" s="1514"/>
      <c r="H44" s="1515"/>
      <c r="I44" s="1513"/>
      <c r="J44" s="1514"/>
      <c r="K44" s="1515"/>
      <c r="L44" s="1516"/>
      <c r="M44" s="1516"/>
      <c r="N44" s="1689" t="s">
        <v>116</v>
      </c>
      <c r="O44" s="2670"/>
      <c r="P44" s="415"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1510"/>
      <c r="B45" s="1511"/>
      <c r="C45" s="1511"/>
      <c r="D45" s="1511"/>
      <c r="E45" s="1512"/>
      <c r="F45" s="1513"/>
      <c r="G45" s="1514"/>
      <c r="H45" s="1515"/>
      <c r="I45" s="1513"/>
      <c r="J45" s="1514"/>
      <c r="K45" s="1515"/>
      <c r="L45" s="1516"/>
      <c r="M45" s="1516"/>
      <c r="N45" s="1689" t="s">
        <v>116</v>
      </c>
      <c r="O45" s="2670"/>
      <c r="P45" s="415"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1510"/>
      <c r="B46" s="1511"/>
      <c r="C46" s="1511"/>
      <c r="D46" s="1511"/>
      <c r="E46" s="1512"/>
      <c r="F46" s="1513"/>
      <c r="G46" s="1514"/>
      <c r="H46" s="1515"/>
      <c r="I46" s="1513"/>
      <c r="J46" s="1514"/>
      <c r="K46" s="1515"/>
      <c r="L46" s="1516"/>
      <c r="M46" s="1516"/>
      <c r="N46" s="1689" t="s">
        <v>116</v>
      </c>
      <c r="O46" s="2670"/>
      <c r="P46" s="415"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1510"/>
      <c r="B47" s="1511"/>
      <c r="C47" s="1511"/>
      <c r="D47" s="1511"/>
      <c r="E47" s="1512"/>
      <c r="F47" s="1513"/>
      <c r="G47" s="1514"/>
      <c r="H47" s="1515"/>
      <c r="I47" s="1513"/>
      <c r="J47" s="1514"/>
      <c r="K47" s="1515"/>
      <c r="L47" s="1516"/>
      <c r="M47" s="1516"/>
      <c r="N47" s="1689" t="s">
        <v>116</v>
      </c>
      <c r="O47" s="2670"/>
      <c r="P47" s="415"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1510"/>
      <c r="B48" s="1511"/>
      <c r="C48" s="1511"/>
      <c r="D48" s="1511"/>
      <c r="E48" s="1512"/>
      <c r="F48" s="1513"/>
      <c r="G48" s="1514"/>
      <c r="H48" s="1515"/>
      <c r="I48" s="1513"/>
      <c r="J48" s="1514"/>
      <c r="K48" s="1515"/>
      <c r="L48" s="1516"/>
      <c r="M48" s="1516"/>
      <c r="N48" s="1689" t="s">
        <v>116</v>
      </c>
      <c r="O48" s="2670"/>
      <c r="P48" s="415"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2670"/>
      <c r="P49" s="415"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2670"/>
      <c r="P50" s="415"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2670"/>
      <c r="P51" s="415"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2670"/>
      <c r="P52" s="415"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caMYo2WAcf6S+Wt+7pe1aOABxVFwaKGLGVzYdgPqhX+j5KQV5KRFnkuDJpjy39XGVFfoYT/7t+CH0XjfAkbSBQ==" saltValue="DMnwdHH5cHYYQf0tUV5RPw=="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77" priority="4" stopIfTrue="1">
      <formula>AND($B14="NU",F14&lt;0)</formula>
    </cfRule>
  </conditionalFormatting>
  <conditionalFormatting sqref="B14:B55">
    <cfRule type="expression" dxfId="776" priority="5" stopIfTrue="1">
      <formula>OR(AND($B14="NU",F14&lt;0),AND($B14="NU",I14&lt;0))</formula>
    </cfRule>
  </conditionalFormatting>
  <conditionalFormatting sqref="G14:H55 J14:L55">
    <cfRule type="expression" dxfId="775" priority="6" stopIfTrue="1">
      <formula>$R14</formula>
    </cfRule>
  </conditionalFormatting>
  <conditionalFormatting sqref="I2:K4">
    <cfRule type="cellIs" dxfId="774" priority="7" stopIfTrue="1" operator="equal">
      <formula>""</formula>
    </cfRule>
  </conditionalFormatting>
  <conditionalFormatting sqref="I14:I55">
    <cfRule type="expression" dxfId="773" priority="8" stopIfTrue="1">
      <formula>OR($R14,$B14="CZ",AND($B14="NU",I14&lt;0))</formula>
    </cfRule>
  </conditionalFormatting>
  <conditionalFormatting sqref="A14:A55">
    <cfRule type="expression" dxfId="772" priority="3">
      <formula>NOT($P14)</formula>
    </cfRule>
  </conditionalFormatting>
  <conditionalFormatting sqref="B14:D55">
    <cfRule type="expression" dxfId="77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70" priority="9">
      <formula>AND(NOT($P14),$T$1)</formula>
    </cfRule>
    <cfRule type="expression" dxfId="769" priority="10">
      <formula>AND($AP14,$S$1="M")</formula>
    </cfRule>
  </conditionalFormatting>
  <conditionalFormatting sqref="L14:L55">
    <cfRule type="expression" dxfId="76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2B1AA-B0BA-42EF-A193-7CA6D77AAEC8}">
  <sheetPr codeName="Sheet3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1807</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167</v>
      </c>
      <c r="D15" s="1511" t="s">
        <v>145</v>
      </c>
      <c r="E15" s="1512"/>
      <c r="F15" s="1513">
        <v>22.680000000000003</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SJ1</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446</v>
      </c>
      <c r="G16" s="1514"/>
      <c r="H16" s="1515"/>
      <c r="I16" s="1513"/>
      <c r="J16" s="1514"/>
      <c r="K16" s="1515"/>
      <c r="L16" s="1516" t="s">
        <v>116</v>
      </c>
      <c r="M16" s="1517" t="s">
        <v>1397</v>
      </c>
      <c r="N16" s="1689"/>
      <c r="O16" s="1644"/>
      <c r="P16" s="245" t="b">
        <f t="shared" si="0"/>
        <v>0</v>
      </c>
      <c r="R16" s="245" t="b">
        <f t="shared" si="1"/>
        <v>0</v>
      </c>
      <c r="AO16" s="238" t="str">
        <f t="shared" si="2"/>
        <v>SJ1</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104</v>
      </c>
      <c r="G17" s="1514">
        <v>0</v>
      </c>
      <c r="H17" s="1515">
        <v>0</v>
      </c>
      <c r="I17" s="1513">
        <v>0</v>
      </c>
      <c r="J17" s="1514">
        <v>6</v>
      </c>
      <c r="K17" s="1515">
        <v>3.125</v>
      </c>
      <c r="L17" s="1516" t="s">
        <v>702</v>
      </c>
      <c r="M17" s="1517" t="s">
        <v>1397</v>
      </c>
      <c r="N17" s="1689"/>
      <c r="O17" s="1644"/>
      <c r="P17" s="245" t="b">
        <f>IF(ISERROR(VLOOKUP(AO17,BE:BE,1,FALSE)),FALSE,IF(AO17&lt;&gt;"",VLOOKUP(AO17,BE:BE,1,FALSE)=AO17))</f>
        <v>0</v>
      </c>
      <c r="R17" s="245" t="b">
        <f t="shared" si="1"/>
        <v>0</v>
      </c>
      <c r="AO17" s="238" t="str">
        <f t="shared" si="2"/>
        <v>SJ1</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165</v>
      </c>
      <c r="D18" s="1511" t="s">
        <v>145</v>
      </c>
      <c r="E18" s="1512"/>
      <c r="F18" s="1513">
        <v>24</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0</v>
      </c>
      <c r="AO18" s="238" t="str">
        <f t="shared" si="2"/>
        <v>SJ1</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1808</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342</v>
      </c>
      <c r="G21" s="1514"/>
      <c r="H21" s="1515"/>
      <c r="I21" s="1513"/>
      <c r="J21" s="1514"/>
      <c r="K21" s="1515"/>
      <c r="L21" s="1516" t="s">
        <v>116</v>
      </c>
      <c r="M21" s="1517" t="s">
        <v>1397</v>
      </c>
      <c r="N21" s="1518"/>
      <c r="O21" s="1645"/>
      <c r="P21" s="245" t="b">
        <f t="shared" si="3"/>
        <v>0</v>
      </c>
      <c r="R21" s="245" t="b">
        <f t="shared" si="1"/>
        <v>0</v>
      </c>
      <c r="AO21" s="238" t="str">
        <f t="shared" si="2"/>
        <v>SJ2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208</v>
      </c>
      <c r="G22" s="1514">
        <v>0</v>
      </c>
      <c r="H22" s="1515">
        <v>0</v>
      </c>
      <c r="I22" s="1513">
        <v>0</v>
      </c>
      <c r="J22" s="1514">
        <v>12</v>
      </c>
      <c r="K22" s="1515">
        <v>6</v>
      </c>
      <c r="L22" s="1516" t="s">
        <v>702</v>
      </c>
      <c r="M22" s="1517" t="s">
        <v>1397</v>
      </c>
      <c r="N22" s="1518"/>
      <c r="O22" s="1645"/>
      <c r="P22" s="245" t="b">
        <f t="shared" si="3"/>
        <v>0</v>
      </c>
      <c r="R22" s="245" t="b">
        <f t="shared" si="1"/>
        <v>0</v>
      </c>
      <c r="AO22" s="238" t="str">
        <f t="shared" si="2"/>
        <v>SJ2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1809</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SJ3</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SJ3</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238</v>
      </c>
      <c r="G25" s="1514"/>
      <c r="H25" s="1515"/>
      <c r="I25" s="1513"/>
      <c r="J25" s="1514"/>
      <c r="K25" s="1515"/>
      <c r="L25" s="1516" t="s">
        <v>116</v>
      </c>
      <c r="M25" s="1517" t="s">
        <v>1397</v>
      </c>
      <c r="N25" s="1518"/>
      <c r="O25" s="1645"/>
      <c r="P25" s="245" t="b">
        <f t="shared" si="3"/>
        <v>0</v>
      </c>
      <c r="R25" s="245" t="b">
        <f t="shared" si="1"/>
        <v>0</v>
      </c>
      <c r="AO25" s="238" t="str">
        <f t="shared" si="2"/>
        <v>SJ3</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1397</v>
      </c>
      <c r="N26" s="1518"/>
      <c r="O26" s="1645"/>
      <c r="P26" s="245" t="b">
        <f t="shared" si="3"/>
        <v>0</v>
      </c>
      <c r="R26" s="245" t="b">
        <f t="shared" si="1"/>
        <v>0</v>
      </c>
      <c r="AO26" s="238" t="str">
        <f t="shared" si="2"/>
        <v>SJ3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1810</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SJ4</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167</v>
      </c>
      <c r="D28" s="1511" t="s">
        <v>145</v>
      </c>
      <c r="E28" s="1512"/>
      <c r="F28" s="1513">
        <v>22.680000000000003</v>
      </c>
      <c r="G28" s="1514"/>
      <c r="H28" s="1515"/>
      <c r="I28" s="1513"/>
      <c r="J28" s="1514"/>
      <c r="K28" s="1515"/>
      <c r="L28" s="1516"/>
      <c r="M28" s="1517" t="s">
        <v>1397</v>
      </c>
      <c r="N28" s="1689"/>
      <c r="O28" s="1644"/>
      <c r="P28" s="245" t="b">
        <f t="shared" si="3"/>
        <v>0</v>
      </c>
      <c r="R28" s="245" t="b">
        <f t="shared" si="1"/>
        <v>0</v>
      </c>
      <c r="AO28" s="238" t="str">
        <f t="shared" si="2"/>
        <v>SJ4</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163</v>
      </c>
      <c r="D29" s="1511" t="s">
        <v>145</v>
      </c>
      <c r="E29" s="1512"/>
      <c r="F29" s="1513">
        <v>134</v>
      </c>
      <c r="G29" s="1514"/>
      <c r="H29" s="1515"/>
      <c r="I29" s="1513"/>
      <c r="J29" s="1514"/>
      <c r="K29" s="1515"/>
      <c r="L29" s="1516" t="s">
        <v>116</v>
      </c>
      <c r="M29" s="1517" t="s">
        <v>1397</v>
      </c>
      <c r="N29" s="1689"/>
      <c r="O29" s="1644"/>
      <c r="P29" s="245" t="b">
        <f t="shared" si="3"/>
        <v>0</v>
      </c>
      <c r="R29" s="245" t="b">
        <f t="shared" si="1"/>
        <v>0</v>
      </c>
      <c r="AO29" s="238" t="str">
        <f t="shared" si="2"/>
        <v>SJ4</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416</v>
      </c>
      <c r="G30" s="1514">
        <v>0</v>
      </c>
      <c r="H30" s="1515">
        <v>0</v>
      </c>
      <c r="I30" s="1513">
        <v>0</v>
      </c>
      <c r="J30" s="1514">
        <v>24</v>
      </c>
      <c r="K30" s="1515">
        <v>11.5</v>
      </c>
      <c r="L30" s="1516" t="s">
        <v>702</v>
      </c>
      <c r="M30" s="1517" t="s">
        <v>1397</v>
      </c>
      <c r="N30" s="1689" t="s">
        <v>116</v>
      </c>
      <c r="O30" s="1644"/>
      <c r="P30" s="245" t="b">
        <f t="shared" si="3"/>
        <v>0</v>
      </c>
      <c r="R30" s="245" t="b">
        <f t="shared" si="1"/>
        <v>0</v>
      </c>
      <c r="AO30" s="238" t="str">
        <f t="shared" si="2"/>
        <v>SJ4</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1811</v>
      </c>
      <c r="B31" s="1511" t="s">
        <v>151</v>
      </c>
      <c r="C31" s="1511" t="s">
        <v>165</v>
      </c>
      <c r="D31" s="1511" t="s">
        <v>145</v>
      </c>
      <c r="E31" s="1512"/>
      <c r="F31" s="1513">
        <v>125</v>
      </c>
      <c r="G31" s="1514"/>
      <c r="H31" s="1515"/>
      <c r="I31" s="1513"/>
      <c r="J31" s="1514"/>
      <c r="K31" s="1515"/>
      <c r="L31" s="1516"/>
      <c r="M31" s="1516" t="s">
        <v>1397</v>
      </c>
      <c r="N31" s="1689" t="s">
        <v>116</v>
      </c>
      <c r="O31" s="1644"/>
      <c r="P31" s="245" t="b">
        <f t="shared" si="3"/>
        <v>0</v>
      </c>
      <c r="R31" s="245" t="b">
        <f t="shared" si="1"/>
        <v>0</v>
      </c>
      <c r="AO31" s="238" t="str">
        <f t="shared" si="2"/>
        <v>SJ5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167</v>
      </c>
      <c r="D32" s="1511" t="s">
        <v>145</v>
      </c>
      <c r="E32" s="1512"/>
      <c r="F32" s="1513">
        <v>22.680000000000003</v>
      </c>
      <c r="G32" s="1514"/>
      <c r="H32" s="1515"/>
      <c r="I32" s="1513"/>
      <c r="J32" s="1514"/>
      <c r="K32" s="1515"/>
      <c r="L32" s="1516"/>
      <c r="M32" s="1516" t="s">
        <v>1397</v>
      </c>
      <c r="N32" s="1689" t="s">
        <v>116</v>
      </c>
      <c r="O32" s="1644"/>
      <c r="P32" s="245" t="b">
        <f t="shared" si="3"/>
        <v>0</v>
      </c>
      <c r="R32" s="245" t="b">
        <f t="shared" si="1"/>
        <v>0</v>
      </c>
      <c r="AO32" s="238" t="str">
        <f t="shared" si="2"/>
        <v>SJ5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163</v>
      </c>
      <c r="D33" s="1511" t="s">
        <v>145</v>
      </c>
      <c r="E33" s="1512"/>
      <c r="F33" s="1513">
        <v>35</v>
      </c>
      <c r="G33" s="1514"/>
      <c r="H33" s="1515"/>
      <c r="I33" s="1513"/>
      <c r="J33" s="1514"/>
      <c r="K33" s="1515"/>
      <c r="L33" s="1516" t="s">
        <v>116</v>
      </c>
      <c r="M33" s="1516" t="s">
        <v>1397</v>
      </c>
      <c r="N33" s="1689" t="s">
        <v>116</v>
      </c>
      <c r="O33" s="1644"/>
      <c r="P33" s="245" t="b">
        <f t="shared" si="3"/>
        <v>0</v>
      </c>
      <c r="R33" s="245" t="b">
        <f t="shared" si="1"/>
        <v>0</v>
      </c>
      <c r="AO33" s="238" t="str">
        <f t="shared" si="2"/>
        <v>SJ5</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514</v>
      </c>
      <c r="G34" s="1514">
        <v>0</v>
      </c>
      <c r="H34" s="1515">
        <v>0</v>
      </c>
      <c r="I34" s="1513">
        <v>0</v>
      </c>
      <c r="J34" s="1514">
        <v>30</v>
      </c>
      <c r="K34" s="1515">
        <v>9.75</v>
      </c>
      <c r="L34" s="1516" t="s">
        <v>702</v>
      </c>
      <c r="M34" s="1516" t="s">
        <v>1397</v>
      </c>
      <c r="N34" s="1689" t="s">
        <v>116</v>
      </c>
      <c r="O34" s="1644"/>
      <c r="P34" s="245" t="b">
        <f t="shared" si="3"/>
        <v>0</v>
      </c>
      <c r="R34" s="245" t="b">
        <f t="shared" si="1"/>
        <v>0</v>
      </c>
      <c r="AO34" s="238" t="str">
        <f t="shared" si="2"/>
        <v>SJ5</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154</v>
      </c>
      <c r="C35" s="1511" t="s">
        <v>165</v>
      </c>
      <c r="D35" s="1511" t="s">
        <v>145</v>
      </c>
      <c r="E35" s="1512"/>
      <c r="F35" s="1513">
        <v>540</v>
      </c>
      <c r="G35" s="1514"/>
      <c r="H35" s="1515"/>
      <c r="I35" s="1513"/>
      <c r="J35" s="1514"/>
      <c r="K35" s="1515"/>
      <c r="L35" s="1516" t="s">
        <v>116</v>
      </c>
      <c r="M35" s="1516" t="s">
        <v>1397</v>
      </c>
      <c r="N35" s="1689" t="s">
        <v>116</v>
      </c>
      <c r="O35" s="1644"/>
      <c r="P35" s="245" t="b">
        <f t="shared" si="3"/>
        <v>0</v>
      </c>
      <c r="R35" s="245" t="b">
        <f t="shared" si="1"/>
        <v>1</v>
      </c>
      <c r="AO35" s="238" t="str">
        <f t="shared" si="2"/>
        <v>SJ5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1812</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SJ6</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167</v>
      </c>
      <c r="D37" s="1511" t="s">
        <v>145</v>
      </c>
      <c r="E37" s="1512"/>
      <c r="F37" s="1513">
        <v>22.680000000000003</v>
      </c>
      <c r="G37" s="1514"/>
      <c r="H37" s="1515"/>
      <c r="I37" s="1513"/>
      <c r="J37" s="1514"/>
      <c r="K37" s="1515"/>
      <c r="L37" s="1516"/>
      <c r="M37" s="1516" t="s">
        <v>1397</v>
      </c>
      <c r="N37" s="1689" t="s">
        <v>116</v>
      </c>
      <c r="O37" s="1644"/>
      <c r="P37" s="245" t="b">
        <f t="shared" si="3"/>
        <v>0</v>
      </c>
      <c r="R37" s="245" t="b">
        <f t="shared" si="1"/>
        <v>0</v>
      </c>
      <c r="AO37" s="238" t="str">
        <f t="shared" si="2"/>
        <v>SJ6</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163</v>
      </c>
      <c r="D38" s="1511" t="s">
        <v>145</v>
      </c>
      <c r="E38" s="1512"/>
      <c r="F38" s="1513">
        <v>550</v>
      </c>
      <c r="G38" s="1514">
        <v>0</v>
      </c>
      <c r="H38" s="1515">
        <v>0</v>
      </c>
      <c r="I38" s="1513">
        <v>0</v>
      </c>
      <c r="J38" s="1514">
        <v>33</v>
      </c>
      <c r="K38" s="1515">
        <v>0</v>
      </c>
      <c r="L38" s="1516" t="s">
        <v>702</v>
      </c>
      <c r="M38" s="1516" t="s">
        <v>1397</v>
      </c>
      <c r="N38" s="1689" t="s">
        <v>116</v>
      </c>
      <c r="O38" s="1644"/>
      <c r="P38" s="245" t="b">
        <f t="shared" si="3"/>
        <v>0</v>
      </c>
      <c r="R38" s="245" t="b">
        <f t="shared" si="1"/>
        <v>0</v>
      </c>
      <c r="AO38" s="238" t="str">
        <f t="shared" si="2"/>
        <v>SJ6</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154</v>
      </c>
      <c r="C39" s="1511" t="s">
        <v>165</v>
      </c>
      <c r="D39" s="1511" t="s">
        <v>145</v>
      </c>
      <c r="E39" s="1512"/>
      <c r="F39" s="1513">
        <v>540</v>
      </c>
      <c r="G39" s="1514"/>
      <c r="H39" s="1515"/>
      <c r="I39" s="1513"/>
      <c r="J39" s="1514"/>
      <c r="K39" s="1515"/>
      <c r="L39" s="1516" t="s">
        <v>116</v>
      </c>
      <c r="M39" s="1516" t="s">
        <v>1397</v>
      </c>
      <c r="N39" s="1689" t="s">
        <v>116</v>
      </c>
      <c r="O39" s="1644"/>
      <c r="P39" s="245" t="b">
        <f t="shared" si="3"/>
        <v>0</v>
      </c>
      <c r="R39" s="245" t="b">
        <f t="shared" si="1"/>
        <v>1</v>
      </c>
      <c r="AO39" s="238" t="str">
        <f t="shared" si="2"/>
        <v>SJ6</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1813</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SJ7</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SJ7</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SJ7</v>
      </c>
      <c r="AP42" s="945" t="b">
        <v>0</v>
      </c>
      <c r="AQ42" s="1322"/>
      <c r="AR42" s="1323"/>
      <c r="AS42" s="1323"/>
      <c r="AT42" s="1323"/>
      <c r="AU42" s="1323"/>
      <c r="AV42" s="1323"/>
      <c r="AW42" s="1323"/>
      <c r="AX42" s="1323"/>
      <c r="AY42" s="1323"/>
      <c r="AZ42" s="1323"/>
      <c r="BA42" s="1532"/>
      <c r="BB42" s="1532"/>
      <c r="BC42" s="1533"/>
    </row>
    <row r="43" spans="1:55" ht="14.1" customHeight="1" x14ac:dyDescent="0.2">
      <c r="A43" s="1510" t="s">
        <v>1814</v>
      </c>
      <c r="B43" s="1511" t="s">
        <v>151</v>
      </c>
      <c r="C43" s="1511" t="s">
        <v>165</v>
      </c>
      <c r="D43" s="1511" t="s">
        <v>145</v>
      </c>
      <c r="E43" s="1512"/>
      <c r="F43" s="1513">
        <v>125</v>
      </c>
      <c r="G43" s="1514"/>
      <c r="H43" s="1515"/>
      <c r="I43" s="1513"/>
      <c r="J43" s="1514"/>
      <c r="K43" s="1515"/>
      <c r="L43" s="1516"/>
      <c r="M43" s="1516" t="s">
        <v>1397</v>
      </c>
      <c r="N43" s="1689" t="s">
        <v>116</v>
      </c>
      <c r="O43" s="1644"/>
      <c r="P43" s="245" t="b">
        <f t="shared" si="3"/>
        <v>0</v>
      </c>
      <c r="R43" s="245" t="b">
        <f t="shared" si="1"/>
        <v>0</v>
      </c>
      <c r="AO43" s="238" t="str">
        <f t="shared" si="2"/>
        <v>STJ8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167</v>
      </c>
      <c r="D44" s="1511" t="s">
        <v>145</v>
      </c>
      <c r="E44" s="1512"/>
      <c r="F44" s="1513">
        <v>22.680000000000003</v>
      </c>
      <c r="G44" s="1514"/>
      <c r="H44" s="1515"/>
      <c r="I44" s="1513"/>
      <c r="J44" s="1514"/>
      <c r="K44" s="1515"/>
      <c r="L44" s="1516"/>
      <c r="M44" s="1516" t="s">
        <v>1397</v>
      </c>
      <c r="N44" s="1689" t="s">
        <v>116</v>
      </c>
      <c r="O44" s="1644"/>
      <c r="P44" s="245" t="b">
        <f t="shared" si="3"/>
        <v>0</v>
      </c>
      <c r="R44" s="245" t="b">
        <f t="shared" si="1"/>
        <v>0</v>
      </c>
      <c r="AO44" s="238" t="str">
        <f t="shared" si="2"/>
        <v>STJ8</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163</v>
      </c>
      <c r="D45" s="1511" t="s">
        <v>145</v>
      </c>
      <c r="E45" s="1512"/>
      <c r="F45" s="1513">
        <v>550</v>
      </c>
      <c r="G45" s="1514">
        <v>0</v>
      </c>
      <c r="H45" s="1515">
        <v>0</v>
      </c>
      <c r="I45" s="1513">
        <v>0</v>
      </c>
      <c r="J45" s="1514">
        <v>33</v>
      </c>
      <c r="K45" s="1515">
        <v>0</v>
      </c>
      <c r="L45" s="1516" t="s">
        <v>702</v>
      </c>
      <c r="M45" s="1516" t="s">
        <v>1397</v>
      </c>
      <c r="N45" s="1689" t="s">
        <v>116</v>
      </c>
      <c r="O45" s="1644"/>
      <c r="P45" s="245" t="b">
        <f t="shared" si="3"/>
        <v>0</v>
      </c>
      <c r="R45" s="245" t="b">
        <f t="shared" si="1"/>
        <v>0</v>
      </c>
      <c r="AO45" s="238" t="str">
        <f t="shared" si="2"/>
        <v>STJ8</v>
      </c>
      <c r="AP45" s="945" t="b">
        <v>0</v>
      </c>
      <c r="AQ45" s="1322"/>
      <c r="AR45" s="1323"/>
      <c r="AS45" s="1323"/>
      <c r="AT45" s="1323"/>
      <c r="AU45" s="1323"/>
      <c r="AV45" s="1323"/>
      <c r="AW45" s="1323"/>
      <c r="AX45" s="1323"/>
      <c r="AY45" s="1323"/>
      <c r="AZ45" s="1323"/>
      <c r="BA45" s="1532"/>
      <c r="BB45" s="1532"/>
      <c r="BC45" s="1533"/>
    </row>
    <row r="46" spans="1:55" ht="14.1" customHeight="1" x14ac:dyDescent="0.2">
      <c r="A46" s="1510" t="s">
        <v>1815</v>
      </c>
      <c r="B46" s="1511" t="s">
        <v>151</v>
      </c>
      <c r="C46" s="1511" t="s">
        <v>165</v>
      </c>
      <c r="D46" s="1511" t="s">
        <v>145</v>
      </c>
      <c r="E46" s="1512"/>
      <c r="F46" s="1513">
        <v>125</v>
      </c>
      <c r="G46" s="1514"/>
      <c r="H46" s="1515"/>
      <c r="I46" s="1513"/>
      <c r="J46" s="1514"/>
      <c r="K46" s="1515"/>
      <c r="L46" s="1516"/>
      <c r="M46" s="1516" t="s">
        <v>1397</v>
      </c>
      <c r="N46" s="1689" t="s">
        <v>116</v>
      </c>
      <c r="O46" s="1644"/>
      <c r="P46" s="245" t="b">
        <f t="shared" si="3"/>
        <v>0</v>
      </c>
      <c r="R46" s="245" t="b">
        <f t="shared" si="1"/>
        <v>0</v>
      </c>
      <c r="AO46" s="238" t="str">
        <f t="shared" si="2"/>
        <v>SJ9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167</v>
      </c>
      <c r="D47" s="1511" t="s">
        <v>145</v>
      </c>
      <c r="E47" s="1512"/>
      <c r="F47" s="1513">
        <v>22.680000000000003</v>
      </c>
      <c r="G47" s="1514"/>
      <c r="H47" s="1515"/>
      <c r="I47" s="1513"/>
      <c r="J47" s="1514"/>
      <c r="K47" s="1515"/>
      <c r="L47" s="1516"/>
      <c r="M47" s="1516" t="s">
        <v>1397</v>
      </c>
      <c r="N47" s="1689" t="s">
        <v>116</v>
      </c>
      <c r="O47" s="1644"/>
      <c r="P47" s="245" t="b">
        <f t="shared" si="3"/>
        <v>0</v>
      </c>
      <c r="R47" s="245" t="b">
        <f t="shared" si="1"/>
        <v>0</v>
      </c>
      <c r="AO47" s="238" t="str">
        <f t="shared" si="2"/>
        <v>SJ9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163</v>
      </c>
      <c r="D48" s="1511" t="s">
        <v>145</v>
      </c>
      <c r="E48" s="1512"/>
      <c r="F48" s="1513">
        <v>249</v>
      </c>
      <c r="G48" s="1514">
        <v>0</v>
      </c>
      <c r="H48" s="1515">
        <v>0</v>
      </c>
      <c r="I48" s="1513">
        <v>0</v>
      </c>
      <c r="J48" s="1514">
        <v>16</v>
      </c>
      <c r="K48" s="1515">
        <v>4</v>
      </c>
      <c r="L48" s="1516" t="s">
        <v>702</v>
      </c>
      <c r="M48" s="1516" t="s">
        <v>1397</v>
      </c>
      <c r="N48" s="1689" t="s">
        <v>116</v>
      </c>
      <c r="O48" s="1644"/>
      <c r="P48" s="245" t="b">
        <f t="shared" si="3"/>
        <v>0</v>
      </c>
      <c r="R48" s="245" t="b">
        <f t="shared" si="1"/>
        <v>0</v>
      </c>
      <c r="AO48" s="238" t="str">
        <f t="shared" si="2"/>
        <v>SJ9</v>
      </c>
      <c r="AP48" s="945" t="b">
        <v>0</v>
      </c>
      <c r="AQ48" s="1322"/>
      <c r="AR48" s="1323"/>
      <c r="AS48" s="1323"/>
      <c r="AT48" s="1323"/>
      <c r="AU48" s="1323"/>
      <c r="AV48" s="1323"/>
      <c r="AW48" s="1323"/>
      <c r="AX48" s="1323"/>
      <c r="AY48" s="1323"/>
      <c r="AZ48" s="1323"/>
      <c r="BA48" s="1532"/>
      <c r="BB48" s="1532"/>
      <c r="BC48" s="1533"/>
    </row>
    <row r="49" spans="1:55" ht="14.1" customHeight="1" x14ac:dyDescent="0.2">
      <c r="A49" s="1510" t="s">
        <v>1816</v>
      </c>
      <c r="B49" s="1511" t="s">
        <v>151</v>
      </c>
      <c r="C49" s="1511" t="s">
        <v>165</v>
      </c>
      <c r="D49" s="1511" t="s">
        <v>145</v>
      </c>
      <c r="E49" s="1512"/>
      <c r="F49" s="1513">
        <v>125</v>
      </c>
      <c r="G49" s="1514"/>
      <c r="H49" s="1515"/>
      <c r="I49" s="1513"/>
      <c r="J49" s="1514"/>
      <c r="K49" s="1515"/>
      <c r="L49" s="1516"/>
      <c r="M49" s="1516" t="s">
        <v>1397</v>
      </c>
      <c r="N49" s="1689" t="s">
        <v>116</v>
      </c>
      <c r="O49" s="1644"/>
      <c r="P49" s="245" t="b">
        <f t="shared" si="3"/>
        <v>0</v>
      </c>
      <c r="R49" s="245" t="b">
        <f t="shared" si="1"/>
        <v>0</v>
      </c>
      <c r="AO49" s="238" t="str">
        <f t="shared" si="2"/>
        <v>SJ10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167</v>
      </c>
      <c r="D50" s="1511" t="s">
        <v>145</v>
      </c>
      <c r="E50" s="1512"/>
      <c r="F50" s="1513">
        <v>22.680000000000003</v>
      </c>
      <c r="G50" s="1514"/>
      <c r="H50" s="1515"/>
      <c r="I50" s="1513"/>
      <c r="J50" s="1514"/>
      <c r="K50" s="1515"/>
      <c r="L50" s="1516"/>
      <c r="M50" s="1516" t="s">
        <v>1397</v>
      </c>
      <c r="N50" s="1689" t="s">
        <v>116</v>
      </c>
      <c r="O50" s="1644"/>
      <c r="P50" s="245" t="b">
        <f t="shared" si="3"/>
        <v>0</v>
      </c>
      <c r="R50" s="245" t="b">
        <f t="shared" si="1"/>
        <v>0</v>
      </c>
      <c r="AO50" s="238" t="str">
        <f t="shared" si="2"/>
        <v>SJ10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249</v>
      </c>
      <c r="G51" s="1514">
        <v>0</v>
      </c>
      <c r="H51" s="1515">
        <v>0</v>
      </c>
      <c r="I51" s="1513">
        <v>0</v>
      </c>
      <c r="J51" s="1514">
        <v>16</v>
      </c>
      <c r="K51" s="1515">
        <v>4</v>
      </c>
      <c r="L51" s="1516" t="s">
        <v>702</v>
      </c>
      <c r="M51" s="1516" t="s">
        <v>1397</v>
      </c>
      <c r="N51" s="1689" t="s">
        <v>116</v>
      </c>
      <c r="O51" s="1644"/>
      <c r="P51" s="245" t="b">
        <f t="shared" si="3"/>
        <v>0</v>
      </c>
      <c r="R51" s="245" t="b">
        <f t="shared" si="1"/>
        <v>0</v>
      </c>
      <c r="AO51" s="238" t="str">
        <f t="shared" si="2"/>
        <v>SJ10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154</v>
      </c>
      <c r="C52" s="1511" t="s">
        <v>165</v>
      </c>
      <c r="D52" s="1511" t="s">
        <v>145</v>
      </c>
      <c r="E52" s="1512"/>
      <c r="F52" s="1513">
        <v>1100</v>
      </c>
      <c r="G52" s="1514"/>
      <c r="H52" s="1515"/>
      <c r="I52" s="1513"/>
      <c r="J52" s="1514"/>
      <c r="K52" s="1515"/>
      <c r="L52" s="1516" t="s">
        <v>116</v>
      </c>
      <c r="M52" s="1516" t="s">
        <v>1397</v>
      </c>
      <c r="N52" s="1689" t="s">
        <v>116</v>
      </c>
      <c r="O52" s="1644"/>
      <c r="P52" s="245" t="b">
        <f t="shared" si="3"/>
        <v>0</v>
      </c>
      <c r="R52" s="245" t="b">
        <f t="shared" si="1"/>
        <v>1</v>
      </c>
      <c r="AO52" s="238" t="str">
        <f t="shared" si="2"/>
        <v>SJ10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1817</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STJ11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STJ11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249</v>
      </c>
      <c r="G55" s="1523">
        <v>0</v>
      </c>
      <c r="H55" s="1524">
        <v>0</v>
      </c>
      <c r="I55" s="1522">
        <v>0</v>
      </c>
      <c r="J55" s="1523">
        <v>16</v>
      </c>
      <c r="K55" s="1524">
        <v>4</v>
      </c>
      <c r="L55" s="1525" t="s">
        <v>702</v>
      </c>
      <c r="M55" s="1525" t="s">
        <v>1397</v>
      </c>
      <c r="N55" s="1690"/>
      <c r="O55" s="1644"/>
      <c r="P55" s="245" t="b">
        <f t="shared" si="3"/>
        <v>0</v>
      </c>
      <c r="R55" s="245" t="b">
        <f t="shared" si="1"/>
        <v>0</v>
      </c>
      <c r="AO55" s="238" t="str">
        <f t="shared" si="2"/>
        <v>STJ11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79" priority="4" stopIfTrue="1">
      <formula>AND($B14="NU",F14&lt;0)</formula>
    </cfRule>
  </conditionalFormatting>
  <conditionalFormatting sqref="B14:B55">
    <cfRule type="expression" dxfId="178" priority="5" stopIfTrue="1">
      <formula>OR(AND($B14="NU",F14&lt;0),AND($B14="NU",I14&lt;0))</formula>
    </cfRule>
  </conditionalFormatting>
  <conditionalFormatting sqref="G14:H55 J14:L55">
    <cfRule type="expression" dxfId="177" priority="6" stopIfTrue="1">
      <formula>$R14</formula>
    </cfRule>
  </conditionalFormatting>
  <conditionalFormatting sqref="I2:K4">
    <cfRule type="cellIs" dxfId="176" priority="7" stopIfTrue="1" operator="equal">
      <formula>""</formula>
    </cfRule>
  </conditionalFormatting>
  <conditionalFormatting sqref="I14:I55">
    <cfRule type="expression" dxfId="175" priority="8" stopIfTrue="1">
      <formula>OR($R14,$B14="CZ",AND($B14="NU",I14&lt;0))</formula>
    </cfRule>
  </conditionalFormatting>
  <conditionalFormatting sqref="A14:A55">
    <cfRule type="expression" dxfId="174" priority="3">
      <formula>NOT($P14)</formula>
    </cfRule>
  </conditionalFormatting>
  <conditionalFormatting sqref="B14:D55">
    <cfRule type="expression" dxfId="1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72" priority="9">
      <formula>AND(NOT($P14),$T$1)</formula>
    </cfRule>
    <cfRule type="expression" dxfId="171" priority="10">
      <formula>AND($AP14,$S$1="M")</formula>
    </cfRule>
  </conditionalFormatting>
  <conditionalFormatting sqref="L14:L55">
    <cfRule type="expression" dxfId="1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59481FE-195E-42D6-85A4-F14D79BA9B25}">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A32A2892-34BA-467E-8599-E6B7A1E1F03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88E27C14-9C60-462E-AA4D-51EB513628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CD5556A-67BF-43B6-8168-E1E5A661DAA2}">
      <formula1>IF($CA$14,$CA$16:$CA$21,$CB$16:$CB$19)</formula1>
    </dataValidation>
    <dataValidation type="list" allowBlank="1" showErrorMessage="1" errorTitle="Invalid Type" error="You MUST select a Type from the dropdown list provided._x000a__x000a_Also, make sure your Cap Lock is turned on." sqref="B14:B55" xr:uid="{E9ECF7D5-F8AB-4C16-ACE5-F86D51E42E62}">
      <formula1>$BF$15:$BU$15</formula1>
    </dataValidation>
    <dataValidation allowBlank="1" showInputMessage="1" errorTitle="Invalid Load Case" error="You MUST use a Load Case from the list provided." sqref="M14:M55" xr:uid="{49559BAC-D9DA-4B1B-B369-6E2009F16CCD}"/>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6B65F-9D0C-4BC7-A04E-300156038348}">
  <sheetPr codeName="Sheet3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1818</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SJ12</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167</v>
      </c>
      <c r="D15" s="1511" t="s">
        <v>145</v>
      </c>
      <c r="E15" s="1512"/>
      <c r="F15" s="1513">
        <v>22.680000000000003</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SJ12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249</v>
      </c>
      <c r="G16" s="1514">
        <v>0</v>
      </c>
      <c r="H16" s="1515">
        <v>0</v>
      </c>
      <c r="I16" s="1513">
        <v>0</v>
      </c>
      <c r="J16" s="1514">
        <v>16</v>
      </c>
      <c r="K16" s="1515">
        <v>4</v>
      </c>
      <c r="L16" s="1516" t="s">
        <v>702</v>
      </c>
      <c r="M16" s="1517" t="s">
        <v>1397</v>
      </c>
      <c r="N16" s="1689"/>
      <c r="O16" s="1644"/>
      <c r="P16" s="245" t="b">
        <f t="shared" si="0"/>
        <v>0</v>
      </c>
      <c r="R16" s="245" t="b">
        <f t="shared" si="1"/>
        <v>0</v>
      </c>
      <c r="AO16" s="238" t="str">
        <f t="shared" si="2"/>
        <v>SJ12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154</v>
      </c>
      <c r="C17" s="1511" t="s">
        <v>165</v>
      </c>
      <c r="D17" s="1511" t="s">
        <v>145</v>
      </c>
      <c r="E17" s="1512"/>
      <c r="F17" s="1513">
        <v>540</v>
      </c>
      <c r="G17" s="1514"/>
      <c r="H17" s="1515"/>
      <c r="I17" s="1513"/>
      <c r="J17" s="1514"/>
      <c r="K17" s="1515"/>
      <c r="L17" s="1516" t="s">
        <v>116</v>
      </c>
      <c r="M17" s="1517" t="s">
        <v>1397</v>
      </c>
      <c r="N17" s="1689"/>
      <c r="O17" s="1644"/>
      <c r="P17" s="245" t="b">
        <f>IF(ISERROR(VLOOKUP(AO17,BE:BE,1,FALSE)),FALSE,IF(AO17&lt;&gt;"",VLOOKUP(AO17,BE:BE,1,FALSE)=AO17))</f>
        <v>0</v>
      </c>
      <c r="R17" s="245" t="b">
        <f t="shared" si="1"/>
        <v>1</v>
      </c>
      <c r="AO17" s="238" t="str">
        <f t="shared" si="2"/>
        <v>SJ12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1819</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SJ13</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167</v>
      </c>
      <c r="D19" s="1511" t="s">
        <v>145</v>
      </c>
      <c r="E19" s="1512"/>
      <c r="F19" s="1513">
        <v>22.680000000000003</v>
      </c>
      <c r="G19" s="1514"/>
      <c r="H19" s="1515"/>
      <c r="I19" s="1513"/>
      <c r="J19" s="1514"/>
      <c r="K19" s="1515"/>
      <c r="L19" s="1516"/>
      <c r="M19" s="1517" t="s">
        <v>1397</v>
      </c>
      <c r="N19" s="1689" t="s">
        <v>116</v>
      </c>
      <c r="O19" s="1644"/>
      <c r="P19" s="245" t="b">
        <f t="shared" si="3"/>
        <v>0</v>
      </c>
      <c r="R19" s="245" t="b">
        <f t="shared" si="1"/>
        <v>0</v>
      </c>
      <c r="AO19" s="238" t="str">
        <f t="shared" si="2"/>
        <v>SJ13</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249</v>
      </c>
      <c r="G20" s="1514">
        <v>0</v>
      </c>
      <c r="H20" s="1515">
        <v>0</v>
      </c>
      <c r="I20" s="1513">
        <v>0</v>
      </c>
      <c r="J20" s="1514">
        <v>16</v>
      </c>
      <c r="K20" s="1515">
        <v>4</v>
      </c>
      <c r="L20" s="1516" t="s">
        <v>702</v>
      </c>
      <c r="M20" s="1517" t="s">
        <v>1397</v>
      </c>
      <c r="N20" s="1518"/>
      <c r="O20" s="1645"/>
      <c r="P20" s="245" t="b">
        <f t="shared" si="3"/>
        <v>0</v>
      </c>
      <c r="R20" s="245" t="b">
        <f t="shared" si="1"/>
        <v>0</v>
      </c>
      <c r="AO20" s="238" t="str">
        <f t="shared" si="2"/>
        <v>SJ13</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540</v>
      </c>
      <c r="G21" s="1514"/>
      <c r="H21" s="1515"/>
      <c r="I21" s="1513"/>
      <c r="J21" s="1514"/>
      <c r="K21" s="1515"/>
      <c r="L21" s="1516" t="s">
        <v>116</v>
      </c>
      <c r="M21" s="1517" t="s">
        <v>1397</v>
      </c>
      <c r="N21" s="1518"/>
      <c r="O21" s="1645"/>
      <c r="P21" s="245" t="b">
        <f t="shared" si="3"/>
        <v>0</v>
      </c>
      <c r="R21" s="245" t="b">
        <f t="shared" si="1"/>
        <v>1</v>
      </c>
      <c r="AO21" s="238" t="str">
        <f t="shared" si="2"/>
        <v>SJ13</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146</v>
      </c>
      <c r="C22" s="1511" t="s">
        <v>165</v>
      </c>
      <c r="D22" s="1511" t="s">
        <v>145</v>
      </c>
      <c r="E22" s="1512"/>
      <c r="F22" s="1513">
        <v>300</v>
      </c>
      <c r="G22" s="1514">
        <v>3</v>
      </c>
      <c r="H22" s="1515">
        <v>0</v>
      </c>
      <c r="I22" s="1513"/>
      <c r="J22" s="1514"/>
      <c r="K22" s="1515"/>
      <c r="L22" s="1516" t="s">
        <v>702</v>
      </c>
      <c r="M22" s="1517" t="s">
        <v>1397</v>
      </c>
      <c r="N22" s="1518"/>
      <c r="O22" s="1645"/>
      <c r="P22" s="245" t="b">
        <f t="shared" si="3"/>
        <v>0</v>
      </c>
      <c r="R22" s="245" t="b">
        <f t="shared" si="1"/>
        <v>0</v>
      </c>
      <c r="AO22" s="238" t="str">
        <f t="shared" si="2"/>
        <v>SJ13</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1820</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SJ14</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SJ14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249</v>
      </c>
      <c r="G25" s="1514">
        <v>0</v>
      </c>
      <c r="H25" s="1515">
        <v>0</v>
      </c>
      <c r="I25" s="1513">
        <v>0</v>
      </c>
      <c r="J25" s="1514">
        <v>16</v>
      </c>
      <c r="K25" s="1515">
        <v>4</v>
      </c>
      <c r="L25" s="1516" t="s">
        <v>702</v>
      </c>
      <c r="M25" s="1517" t="s">
        <v>1397</v>
      </c>
      <c r="N25" s="1518"/>
      <c r="O25" s="1645"/>
      <c r="P25" s="245" t="b">
        <f t="shared" si="3"/>
        <v>0</v>
      </c>
      <c r="R25" s="245" t="b">
        <f t="shared" si="1"/>
        <v>0</v>
      </c>
      <c r="AO25" s="238" t="str">
        <f t="shared" si="2"/>
        <v>SJ14</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165</v>
      </c>
      <c r="D26" s="1511" t="s">
        <v>145</v>
      </c>
      <c r="E26" s="1512"/>
      <c r="F26" s="1513">
        <v>24</v>
      </c>
      <c r="G26" s="1514"/>
      <c r="H26" s="1515"/>
      <c r="I26" s="1513"/>
      <c r="J26" s="1514"/>
      <c r="K26" s="1515"/>
      <c r="L26" s="1516" t="s">
        <v>116</v>
      </c>
      <c r="M26" s="1517" t="s">
        <v>1397</v>
      </c>
      <c r="N26" s="1518"/>
      <c r="O26" s="1645"/>
      <c r="P26" s="245" t="b">
        <f t="shared" si="3"/>
        <v>0</v>
      </c>
      <c r="R26" s="245" t="b">
        <f t="shared" si="1"/>
        <v>0</v>
      </c>
      <c r="AO26" s="238" t="str">
        <f t="shared" si="2"/>
        <v>SJ14</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146</v>
      </c>
      <c r="C27" s="1511" t="s">
        <v>165</v>
      </c>
      <c r="D27" s="1511" t="s">
        <v>145</v>
      </c>
      <c r="E27" s="1512"/>
      <c r="F27" s="1513">
        <v>300</v>
      </c>
      <c r="G27" s="1514">
        <v>3</v>
      </c>
      <c r="H27" s="1515">
        <v>0</v>
      </c>
      <c r="I27" s="1513"/>
      <c r="J27" s="1514"/>
      <c r="K27" s="1515"/>
      <c r="L27" s="1516" t="s">
        <v>702</v>
      </c>
      <c r="M27" s="1517" t="s">
        <v>1397</v>
      </c>
      <c r="N27" s="1518"/>
      <c r="O27" s="1645"/>
      <c r="P27" s="245" t="b">
        <f t="shared" si="3"/>
        <v>0</v>
      </c>
      <c r="R27" s="245" t="b">
        <f t="shared" si="1"/>
        <v>0</v>
      </c>
      <c r="AO27" s="238" t="str">
        <f t="shared" si="2"/>
        <v>SJ14</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1821</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SJ15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SJ15</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249</v>
      </c>
      <c r="G30" s="1514">
        <v>0</v>
      </c>
      <c r="H30" s="1515">
        <v>0</v>
      </c>
      <c r="I30" s="1513">
        <v>0</v>
      </c>
      <c r="J30" s="1514">
        <v>16</v>
      </c>
      <c r="K30" s="1515">
        <v>4</v>
      </c>
      <c r="L30" s="1516" t="s">
        <v>702</v>
      </c>
      <c r="M30" s="1517" t="s">
        <v>1397</v>
      </c>
      <c r="N30" s="1689" t="s">
        <v>116</v>
      </c>
      <c r="O30" s="1644"/>
      <c r="P30" s="245" t="b">
        <f t="shared" si="3"/>
        <v>0</v>
      </c>
      <c r="R30" s="245" t="b">
        <f t="shared" si="1"/>
        <v>0</v>
      </c>
      <c r="AO30" s="238" t="str">
        <f t="shared" si="2"/>
        <v>SJ15</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165</v>
      </c>
      <c r="D31" s="1511" t="s">
        <v>145</v>
      </c>
      <c r="E31" s="1512"/>
      <c r="F31" s="1513">
        <v>24</v>
      </c>
      <c r="G31" s="1514"/>
      <c r="H31" s="1515"/>
      <c r="I31" s="1513"/>
      <c r="J31" s="1514"/>
      <c r="K31" s="1515"/>
      <c r="L31" s="1516" t="s">
        <v>116</v>
      </c>
      <c r="M31" s="1516" t="s">
        <v>1397</v>
      </c>
      <c r="N31" s="1689" t="s">
        <v>116</v>
      </c>
      <c r="O31" s="1644"/>
      <c r="P31" s="245" t="b">
        <f t="shared" si="3"/>
        <v>0</v>
      </c>
      <c r="R31" s="245" t="b">
        <f t="shared" si="1"/>
        <v>0</v>
      </c>
      <c r="AO31" s="238" t="str">
        <f t="shared" si="2"/>
        <v>SJ15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146</v>
      </c>
      <c r="C32" s="1511" t="s">
        <v>165</v>
      </c>
      <c r="D32" s="1511" t="s">
        <v>145</v>
      </c>
      <c r="E32" s="1512"/>
      <c r="F32" s="1513">
        <v>300</v>
      </c>
      <c r="G32" s="1514">
        <v>3</v>
      </c>
      <c r="H32" s="1515">
        <v>0</v>
      </c>
      <c r="I32" s="1513"/>
      <c r="J32" s="1514"/>
      <c r="K32" s="1515"/>
      <c r="L32" s="1516" t="s">
        <v>702</v>
      </c>
      <c r="M32" s="1516" t="s">
        <v>1397</v>
      </c>
      <c r="N32" s="1689" t="s">
        <v>116</v>
      </c>
      <c r="O32" s="1644"/>
      <c r="P32" s="245" t="b">
        <f t="shared" si="3"/>
        <v>0</v>
      </c>
      <c r="R32" s="245" t="b">
        <f t="shared" si="1"/>
        <v>0</v>
      </c>
      <c r="AO32" s="238" t="str">
        <f t="shared" si="2"/>
        <v>SJ15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1822</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SJ16</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167</v>
      </c>
      <c r="D34" s="1511" t="s">
        <v>145</v>
      </c>
      <c r="E34" s="1512"/>
      <c r="F34" s="1513">
        <v>22.680000000000003</v>
      </c>
      <c r="G34" s="1514"/>
      <c r="H34" s="1515"/>
      <c r="I34" s="1513"/>
      <c r="J34" s="1514"/>
      <c r="K34" s="1515"/>
      <c r="L34" s="1516"/>
      <c r="M34" s="1516" t="s">
        <v>1397</v>
      </c>
      <c r="N34" s="1689" t="s">
        <v>116</v>
      </c>
      <c r="O34" s="1644"/>
      <c r="P34" s="245" t="b">
        <f t="shared" si="3"/>
        <v>0</v>
      </c>
      <c r="R34" s="245" t="b">
        <f t="shared" si="1"/>
        <v>0</v>
      </c>
      <c r="AO34" s="238" t="str">
        <f t="shared" si="2"/>
        <v>SJ16</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550</v>
      </c>
      <c r="G35" s="1514">
        <v>0</v>
      </c>
      <c r="H35" s="1515">
        <v>0</v>
      </c>
      <c r="I35" s="1513">
        <v>0</v>
      </c>
      <c r="J35" s="1514">
        <v>33</v>
      </c>
      <c r="K35" s="1515">
        <v>0</v>
      </c>
      <c r="L35" s="1516" t="s">
        <v>702</v>
      </c>
      <c r="M35" s="1516" t="s">
        <v>1397</v>
      </c>
      <c r="N35" s="1689" t="s">
        <v>116</v>
      </c>
      <c r="O35" s="1644"/>
      <c r="P35" s="245" t="b">
        <f t="shared" si="3"/>
        <v>0</v>
      </c>
      <c r="R35" s="245" t="b">
        <f t="shared" si="1"/>
        <v>0</v>
      </c>
      <c r="AO35" s="238" t="str">
        <f t="shared" si="2"/>
        <v>SJ16</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165</v>
      </c>
      <c r="D36" s="1511" t="s">
        <v>145</v>
      </c>
      <c r="E36" s="1512"/>
      <c r="F36" s="1513">
        <v>24</v>
      </c>
      <c r="G36" s="1514"/>
      <c r="H36" s="1515"/>
      <c r="I36" s="1513"/>
      <c r="J36" s="1514"/>
      <c r="K36" s="1515"/>
      <c r="L36" s="1516" t="s">
        <v>116</v>
      </c>
      <c r="M36" s="1516" t="s">
        <v>1397</v>
      </c>
      <c r="N36" s="1689" t="s">
        <v>116</v>
      </c>
      <c r="O36" s="1644"/>
      <c r="P36" s="245" t="b">
        <f t="shared" si="3"/>
        <v>0</v>
      </c>
      <c r="R36" s="245" t="b">
        <f t="shared" si="1"/>
        <v>0</v>
      </c>
      <c r="AO36" s="238" t="str">
        <f t="shared" si="2"/>
        <v>SJ16</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1823</v>
      </c>
      <c r="B37" s="1511" t="s">
        <v>151</v>
      </c>
      <c r="C37" s="1511" t="s">
        <v>165</v>
      </c>
      <c r="D37" s="1511" t="s">
        <v>145</v>
      </c>
      <c r="E37" s="1512"/>
      <c r="F37" s="1513">
        <v>125</v>
      </c>
      <c r="G37" s="1514"/>
      <c r="H37" s="1515"/>
      <c r="I37" s="1513"/>
      <c r="J37" s="1514"/>
      <c r="K37" s="1515"/>
      <c r="L37" s="1516"/>
      <c r="M37" s="1516" t="s">
        <v>1397</v>
      </c>
      <c r="N37" s="1689" t="s">
        <v>116</v>
      </c>
      <c r="O37" s="1644"/>
      <c r="P37" s="245" t="b">
        <f t="shared" si="3"/>
        <v>0</v>
      </c>
      <c r="R37" s="245" t="b">
        <f t="shared" si="1"/>
        <v>0</v>
      </c>
      <c r="AO37" s="238" t="str">
        <f t="shared" si="2"/>
        <v>STJ17</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167</v>
      </c>
      <c r="D38" s="1511" t="s">
        <v>145</v>
      </c>
      <c r="E38" s="1512"/>
      <c r="F38" s="1513">
        <v>22.680000000000003</v>
      </c>
      <c r="G38" s="1514"/>
      <c r="H38" s="1515"/>
      <c r="I38" s="1513"/>
      <c r="J38" s="1514"/>
      <c r="K38" s="1515"/>
      <c r="L38" s="1516"/>
      <c r="M38" s="1516" t="s">
        <v>1397</v>
      </c>
      <c r="N38" s="1689" t="s">
        <v>116</v>
      </c>
      <c r="O38" s="1644"/>
      <c r="P38" s="245" t="b">
        <f t="shared" si="3"/>
        <v>0</v>
      </c>
      <c r="R38" s="245" t="b">
        <f t="shared" si="1"/>
        <v>0</v>
      </c>
      <c r="AO38" s="238" t="str">
        <f t="shared" si="2"/>
        <v>STJ17</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163</v>
      </c>
      <c r="D39" s="1511" t="s">
        <v>145</v>
      </c>
      <c r="E39" s="1512"/>
      <c r="F39" s="1513">
        <v>550</v>
      </c>
      <c r="G39" s="1514">
        <v>0</v>
      </c>
      <c r="H39" s="1515">
        <v>0</v>
      </c>
      <c r="I39" s="1513">
        <v>0</v>
      </c>
      <c r="J39" s="1514">
        <v>33</v>
      </c>
      <c r="K39" s="1515">
        <v>0</v>
      </c>
      <c r="L39" s="1516" t="s">
        <v>702</v>
      </c>
      <c r="M39" s="1516" t="s">
        <v>1397</v>
      </c>
      <c r="N39" s="1689" t="s">
        <v>116</v>
      </c>
      <c r="O39" s="1644"/>
      <c r="P39" s="245" t="b">
        <f t="shared" si="3"/>
        <v>0</v>
      </c>
      <c r="R39" s="245" t="b">
        <f t="shared" si="1"/>
        <v>0</v>
      </c>
      <c r="AO39" s="238" t="str">
        <f t="shared" si="2"/>
        <v>STJ17</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1824</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SJ18</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SJ18</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SJ18</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154</v>
      </c>
      <c r="C43" s="1511" t="s">
        <v>165</v>
      </c>
      <c r="D43" s="1511" t="s">
        <v>145</v>
      </c>
      <c r="E43" s="1512"/>
      <c r="F43" s="1513">
        <v>1100</v>
      </c>
      <c r="G43" s="1514"/>
      <c r="H43" s="1515"/>
      <c r="I43" s="1513"/>
      <c r="J43" s="1514"/>
      <c r="K43" s="1515"/>
      <c r="L43" s="1516" t="s">
        <v>116</v>
      </c>
      <c r="M43" s="1516" t="s">
        <v>1397</v>
      </c>
      <c r="N43" s="1689" t="s">
        <v>116</v>
      </c>
      <c r="O43" s="1644"/>
      <c r="P43" s="245" t="b">
        <f t="shared" si="3"/>
        <v>0</v>
      </c>
      <c r="R43" s="245" t="b">
        <f t="shared" si="1"/>
        <v>1</v>
      </c>
      <c r="AO43" s="238" t="str">
        <f t="shared" si="2"/>
        <v>SJ18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1825</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STJ19</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167</v>
      </c>
      <c r="D45" s="1511" t="s">
        <v>145</v>
      </c>
      <c r="E45" s="1512"/>
      <c r="F45" s="1513">
        <v>22.680000000000003</v>
      </c>
      <c r="G45" s="1514"/>
      <c r="H45" s="1515"/>
      <c r="I45" s="1513"/>
      <c r="J45" s="1514"/>
      <c r="K45" s="1515"/>
      <c r="L45" s="1516"/>
      <c r="M45" s="1516" t="s">
        <v>1397</v>
      </c>
      <c r="N45" s="1689" t="s">
        <v>116</v>
      </c>
      <c r="O45" s="1644"/>
      <c r="P45" s="245" t="b">
        <f t="shared" si="3"/>
        <v>0</v>
      </c>
      <c r="R45" s="245" t="b">
        <f t="shared" si="1"/>
        <v>0</v>
      </c>
      <c r="AO45" s="238" t="str">
        <f t="shared" si="2"/>
        <v>STJ19</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163</v>
      </c>
      <c r="D46" s="1511" t="s">
        <v>145</v>
      </c>
      <c r="E46" s="1512"/>
      <c r="F46" s="1513">
        <v>550</v>
      </c>
      <c r="G46" s="1514">
        <v>0</v>
      </c>
      <c r="H46" s="1515">
        <v>0</v>
      </c>
      <c r="I46" s="1513">
        <v>0</v>
      </c>
      <c r="J46" s="1514">
        <v>33</v>
      </c>
      <c r="K46" s="1515">
        <v>0</v>
      </c>
      <c r="L46" s="1516" t="s">
        <v>702</v>
      </c>
      <c r="M46" s="1516" t="s">
        <v>1397</v>
      </c>
      <c r="N46" s="1689" t="s">
        <v>116</v>
      </c>
      <c r="O46" s="1644"/>
      <c r="P46" s="245" t="b">
        <f t="shared" si="3"/>
        <v>0</v>
      </c>
      <c r="R46" s="245" t="b">
        <f t="shared" si="1"/>
        <v>0</v>
      </c>
      <c r="AO46" s="238" t="str">
        <f t="shared" si="2"/>
        <v>STJ19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154</v>
      </c>
      <c r="C47" s="1511" t="s">
        <v>165</v>
      </c>
      <c r="D47" s="1511" t="s">
        <v>145</v>
      </c>
      <c r="E47" s="1512"/>
      <c r="F47" s="1513">
        <v>540</v>
      </c>
      <c r="G47" s="1514"/>
      <c r="H47" s="1515"/>
      <c r="I47" s="1513"/>
      <c r="J47" s="1514"/>
      <c r="K47" s="1515"/>
      <c r="L47" s="1516" t="s">
        <v>116</v>
      </c>
      <c r="M47" s="1516" t="s">
        <v>1397</v>
      </c>
      <c r="N47" s="1689" t="s">
        <v>116</v>
      </c>
      <c r="O47" s="1644"/>
      <c r="P47" s="245" t="b">
        <f t="shared" si="3"/>
        <v>0</v>
      </c>
      <c r="R47" s="245" t="b">
        <f t="shared" si="1"/>
        <v>1</v>
      </c>
      <c r="AO47" s="238" t="str">
        <f t="shared" si="2"/>
        <v>STJ19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1826</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SJ20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167</v>
      </c>
      <c r="D49" s="1511" t="s">
        <v>145</v>
      </c>
      <c r="E49" s="1512"/>
      <c r="F49" s="1513">
        <v>22.680000000000003</v>
      </c>
      <c r="G49" s="1514"/>
      <c r="H49" s="1515"/>
      <c r="I49" s="1513"/>
      <c r="J49" s="1514"/>
      <c r="K49" s="1515"/>
      <c r="L49" s="1516"/>
      <c r="M49" s="1516" t="s">
        <v>1397</v>
      </c>
      <c r="N49" s="1689" t="s">
        <v>116</v>
      </c>
      <c r="O49" s="1644"/>
      <c r="P49" s="245" t="b">
        <f t="shared" si="3"/>
        <v>0</v>
      </c>
      <c r="R49" s="245" t="b">
        <f t="shared" si="1"/>
        <v>0</v>
      </c>
      <c r="AO49" s="238" t="str">
        <f t="shared" si="2"/>
        <v>SJ20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163</v>
      </c>
      <c r="D50" s="1511" t="s">
        <v>145</v>
      </c>
      <c r="E50" s="1512"/>
      <c r="F50" s="1513">
        <v>446</v>
      </c>
      <c r="G50" s="1514">
        <v>0</v>
      </c>
      <c r="H50" s="1515">
        <v>0</v>
      </c>
      <c r="I50" s="1513">
        <v>446</v>
      </c>
      <c r="J50" s="1514">
        <v>25</v>
      </c>
      <c r="K50" s="1515">
        <v>0</v>
      </c>
      <c r="L50" s="1516" t="s">
        <v>700</v>
      </c>
      <c r="M50" s="1516" t="s">
        <v>1397</v>
      </c>
      <c r="N50" s="1689" t="s">
        <v>116</v>
      </c>
      <c r="O50" s="1644"/>
      <c r="P50" s="245" t="b">
        <f t="shared" si="3"/>
        <v>0</v>
      </c>
      <c r="R50" s="245" t="b">
        <f t="shared" si="1"/>
        <v>0</v>
      </c>
      <c r="AO50" s="238" t="str">
        <f t="shared" si="2"/>
        <v>SJ20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154</v>
      </c>
      <c r="G51" s="1514">
        <v>25</v>
      </c>
      <c r="H51" s="1515">
        <v>0</v>
      </c>
      <c r="I51" s="1513">
        <v>154</v>
      </c>
      <c r="J51" s="1514">
        <v>50</v>
      </c>
      <c r="K51" s="1515">
        <v>0</v>
      </c>
      <c r="L51" s="1516" t="s">
        <v>700</v>
      </c>
      <c r="M51" s="1516" t="s">
        <v>1397</v>
      </c>
      <c r="N51" s="1689" t="s">
        <v>116</v>
      </c>
      <c r="O51" s="1644"/>
      <c r="P51" s="245" t="b">
        <f t="shared" si="3"/>
        <v>0</v>
      </c>
      <c r="R51" s="245" t="b">
        <f t="shared" si="1"/>
        <v>0</v>
      </c>
      <c r="AO51" s="238" t="str">
        <f t="shared" si="2"/>
        <v>SJ20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165</v>
      </c>
      <c r="D52" s="1511" t="s">
        <v>145</v>
      </c>
      <c r="E52" s="1512"/>
      <c r="F52" s="1513">
        <v>24</v>
      </c>
      <c r="G52" s="1514"/>
      <c r="H52" s="1515"/>
      <c r="I52" s="1513"/>
      <c r="J52" s="1514"/>
      <c r="K52" s="1515"/>
      <c r="L52" s="1516" t="s">
        <v>116</v>
      </c>
      <c r="M52" s="1516" t="s">
        <v>1397</v>
      </c>
      <c r="N52" s="1689" t="s">
        <v>116</v>
      </c>
      <c r="O52" s="1644"/>
      <c r="P52" s="245" t="b">
        <f t="shared" si="3"/>
        <v>0</v>
      </c>
      <c r="R52" s="245" t="b">
        <f t="shared" si="1"/>
        <v>0</v>
      </c>
      <c r="AO52" s="238" t="str">
        <f t="shared" si="2"/>
        <v>SJ20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1827</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SJ21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SJ21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342</v>
      </c>
      <c r="G55" s="1523">
        <v>0</v>
      </c>
      <c r="H55" s="1524">
        <v>0</v>
      </c>
      <c r="I55" s="1522">
        <v>342</v>
      </c>
      <c r="J55" s="1523">
        <v>25</v>
      </c>
      <c r="K55" s="1524">
        <v>0</v>
      </c>
      <c r="L55" s="1525" t="s">
        <v>700</v>
      </c>
      <c r="M55" s="1525" t="s">
        <v>1397</v>
      </c>
      <c r="N55" s="1690"/>
      <c r="O55" s="1644"/>
      <c r="P55" s="245" t="b">
        <f t="shared" si="3"/>
        <v>0</v>
      </c>
      <c r="R55" s="245" t="b">
        <f t="shared" si="1"/>
        <v>0</v>
      </c>
      <c r="AO55" s="238" t="str">
        <f t="shared" si="2"/>
        <v>SJ21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69" priority="4" stopIfTrue="1">
      <formula>AND($B14="NU",F14&lt;0)</formula>
    </cfRule>
  </conditionalFormatting>
  <conditionalFormatting sqref="B14:B55">
    <cfRule type="expression" dxfId="168" priority="5" stopIfTrue="1">
      <formula>OR(AND($B14="NU",F14&lt;0),AND($B14="NU",I14&lt;0))</formula>
    </cfRule>
  </conditionalFormatting>
  <conditionalFormatting sqref="G14:H55 J14:L55">
    <cfRule type="expression" dxfId="167" priority="6" stopIfTrue="1">
      <formula>$R14</formula>
    </cfRule>
  </conditionalFormatting>
  <conditionalFormatting sqref="I2:K4">
    <cfRule type="cellIs" dxfId="166" priority="7" stopIfTrue="1" operator="equal">
      <formula>""</formula>
    </cfRule>
  </conditionalFormatting>
  <conditionalFormatting sqref="I14:I55">
    <cfRule type="expression" dxfId="165" priority="8" stopIfTrue="1">
      <formula>OR($R14,$B14="CZ",AND($B14="NU",I14&lt;0))</formula>
    </cfRule>
  </conditionalFormatting>
  <conditionalFormatting sqref="A14:A55">
    <cfRule type="expression" dxfId="164" priority="3">
      <formula>NOT($P14)</formula>
    </cfRule>
  </conditionalFormatting>
  <conditionalFormatting sqref="B14:D55">
    <cfRule type="expression" dxfId="1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62" priority="9">
      <formula>AND(NOT($P14),$T$1)</formula>
    </cfRule>
    <cfRule type="expression" dxfId="161" priority="10">
      <formula>AND($AP14,$S$1="M")</formula>
    </cfRule>
  </conditionalFormatting>
  <conditionalFormatting sqref="L14:L55">
    <cfRule type="expression" dxfId="1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DC7598A-5581-46BE-AFC2-1266CF73B58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4AB5330-6E86-4E39-8086-D3A63530D6D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7DD9A051-C3CA-4592-8DB2-0FC87CD8D8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CDCB3B-6915-4201-BF1A-4BBC7841FC5E}">
      <formula1>IF($CA$14,$CA$16:$CA$21,$CB$16:$CB$19)</formula1>
    </dataValidation>
    <dataValidation type="list" allowBlank="1" showErrorMessage="1" errorTitle="Invalid Type" error="You MUST select a Type from the dropdown list provided._x000a__x000a_Also, make sure your Cap Lock is turned on." sqref="B14:B55" xr:uid="{46F4B547-7C48-4696-924E-34F566A8B343}">
      <formula1>$BF$15:$BU$15</formula1>
    </dataValidation>
    <dataValidation allowBlank="1" showInputMessage="1" errorTitle="Invalid Load Case" error="You MUST use a Load Case from the list provided." sqref="M14:M55" xr:uid="{ECEF13DE-72BF-4F96-809D-40EE595286BB}"/>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61FB7-427D-4887-BAF9-0357FAAB745B}">
  <sheetPr codeName="Sheet4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60</v>
      </c>
      <c r="G14" s="1506">
        <v>25</v>
      </c>
      <c r="H14" s="1507">
        <v>0</v>
      </c>
      <c r="I14" s="1505">
        <v>60</v>
      </c>
      <c r="J14" s="1506">
        <v>50</v>
      </c>
      <c r="K14" s="1507">
        <v>0</v>
      </c>
      <c r="L14" s="1508" t="s">
        <v>700</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1828</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SJ22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SJ22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238</v>
      </c>
      <c r="G17" s="1514">
        <v>0</v>
      </c>
      <c r="H17" s="1515">
        <v>0</v>
      </c>
      <c r="I17" s="1513">
        <v>238</v>
      </c>
      <c r="J17" s="1514">
        <v>25</v>
      </c>
      <c r="K17" s="1515">
        <v>0</v>
      </c>
      <c r="L17" s="1516" t="s">
        <v>700</v>
      </c>
      <c r="M17" s="1517" t="s">
        <v>1397</v>
      </c>
      <c r="N17" s="1689"/>
      <c r="O17" s="1644"/>
      <c r="P17" s="245" t="b">
        <f>IF(ISERROR(VLOOKUP(AO17,BE:BE,1,FALSE)),FALSE,IF(AO17&lt;&gt;"",VLOOKUP(AO17,BE:BE,1,FALSE)=AO17))</f>
        <v>0</v>
      </c>
      <c r="R17" s="245" t="b">
        <f t="shared" si="1"/>
        <v>0</v>
      </c>
      <c r="AO17" s="238" t="str">
        <f t="shared" si="2"/>
        <v>SJ22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163</v>
      </c>
      <c r="D18" s="1511" t="s">
        <v>145</v>
      </c>
      <c r="E18" s="1512"/>
      <c r="F18" s="1513">
        <v>4</v>
      </c>
      <c r="G18" s="1514">
        <v>25</v>
      </c>
      <c r="H18" s="1515">
        <v>0</v>
      </c>
      <c r="I18" s="1513">
        <v>4</v>
      </c>
      <c r="J18" s="1514">
        <v>50</v>
      </c>
      <c r="K18" s="1515">
        <v>0</v>
      </c>
      <c r="L18" s="1516" t="s">
        <v>700</v>
      </c>
      <c r="M18" s="1517" t="s">
        <v>1397</v>
      </c>
      <c r="N18" s="1689"/>
      <c r="O18" s="1644"/>
      <c r="P18" s="245" t="b">
        <f t="shared" ref="P18:P55" si="3">IF(ISERROR(VLOOKUP(AO18,BE:BE,1,FALSE)),FALSE,IF(AO18&lt;&gt;"",VLOOKUP(AO18,BE:BE,1,FALSE)=AO18))</f>
        <v>0</v>
      </c>
      <c r="R18" s="245" t="b">
        <f t="shared" si="1"/>
        <v>0</v>
      </c>
      <c r="AO18" s="238" t="str">
        <f t="shared" si="2"/>
        <v>SJ22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1829</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SJ23</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SJ23</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134</v>
      </c>
      <c r="G21" s="1514">
        <v>0</v>
      </c>
      <c r="H21" s="1515">
        <v>0</v>
      </c>
      <c r="I21" s="1513">
        <v>134</v>
      </c>
      <c r="J21" s="1514">
        <v>25</v>
      </c>
      <c r="K21" s="1515">
        <v>0</v>
      </c>
      <c r="L21" s="1516" t="s">
        <v>700</v>
      </c>
      <c r="M21" s="1517" t="s">
        <v>1397</v>
      </c>
      <c r="N21" s="1518"/>
      <c r="O21" s="1645"/>
      <c r="P21" s="245" t="b">
        <f t="shared" si="3"/>
        <v>0</v>
      </c>
      <c r="R21" s="245" t="b">
        <f t="shared" si="1"/>
        <v>0</v>
      </c>
      <c r="AO21" s="238" t="str">
        <f t="shared" si="2"/>
        <v>SJ23</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1830</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SJ24</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SJ24</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35</v>
      </c>
      <c r="G24" s="1514">
        <v>0</v>
      </c>
      <c r="H24" s="1515">
        <v>0</v>
      </c>
      <c r="I24" s="1513">
        <v>35</v>
      </c>
      <c r="J24" s="1514">
        <v>25</v>
      </c>
      <c r="K24" s="1515">
        <v>0</v>
      </c>
      <c r="L24" s="1516" t="s">
        <v>700</v>
      </c>
      <c r="M24" s="1517" t="s">
        <v>1397</v>
      </c>
      <c r="N24" s="1518"/>
      <c r="O24" s="1645"/>
      <c r="P24" s="245" t="b">
        <f t="shared" si="3"/>
        <v>0</v>
      </c>
      <c r="R24" s="245" t="b">
        <f t="shared" si="1"/>
        <v>0</v>
      </c>
      <c r="AO24" s="238" t="str">
        <f t="shared" si="2"/>
        <v>SJ24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1831</v>
      </c>
      <c r="B25" s="1511" t="s">
        <v>151</v>
      </c>
      <c r="C25" s="1511" t="s">
        <v>165</v>
      </c>
      <c r="D25" s="1511" t="s">
        <v>145</v>
      </c>
      <c r="E25" s="1512"/>
      <c r="F25" s="1513">
        <v>125</v>
      </c>
      <c r="G25" s="1514"/>
      <c r="H25" s="1515"/>
      <c r="I25" s="1513"/>
      <c r="J25" s="1514"/>
      <c r="K25" s="1515"/>
      <c r="L25" s="1516"/>
      <c r="M25" s="1517" t="s">
        <v>1397</v>
      </c>
      <c r="N25" s="1518"/>
      <c r="O25" s="1645"/>
      <c r="P25" s="245" t="b">
        <f t="shared" si="3"/>
        <v>0</v>
      </c>
      <c r="R25" s="245" t="b">
        <f t="shared" si="1"/>
        <v>0</v>
      </c>
      <c r="AO25" s="238" t="str">
        <f t="shared" si="2"/>
        <v>SJ25</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22.680000000000003</v>
      </c>
      <c r="G26" s="1514"/>
      <c r="H26" s="1515"/>
      <c r="I26" s="1513"/>
      <c r="J26" s="1514"/>
      <c r="K26" s="1515"/>
      <c r="L26" s="1516"/>
      <c r="M26" s="1517" t="s">
        <v>1397</v>
      </c>
      <c r="N26" s="1518"/>
      <c r="O26" s="1645"/>
      <c r="P26" s="245" t="b">
        <f t="shared" si="3"/>
        <v>0</v>
      </c>
      <c r="R26" s="245" t="b">
        <f t="shared" si="1"/>
        <v>0</v>
      </c>
      <c r="AO26" s="238" t="str">
        <f t="shared" si="2"/>
        <v>SJ25</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1832</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STJ26</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167</v>
      </c>
      <c r="D28" s="1511" t="s">
        <v>145</v>
      </c>
      <c r="E28" s="1512"/>
      <c r="F28" s="1513">
        <v>22.680000000000003</v>
      </c>
      <c r="G28" s="1514"/>
      <c r="H28" s="1515"/>
      <c r="I28" s="1513"/>
      <c r="J28" s="1514"/>
      <c r="K28" s="1515"/>
      <c r="L28" s="1516"/>
      <c r="M28" s="1517" t="s">
        <v>1397</v>
      </c>
      <c r="N28" s="1689"/>
      <c r="O28" s="1644"/>
      <c r="P28" s="245" t="b">
        <f t="shared" si="3"/>
        <v>0</v>
      </c>
      <c r="R28" s="245" t="b">
        <f t="shared" si="1"/>
        <v>0</v>
      </c>
      <c r="AO28" s="238" t="str">
        <f t="shared" si="2"/>
        <v>STJ26</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1833</v>
      </c>
      <c r="B29" s="1511" t="s">
        <v>151</v>
      </c>
      <c r="C29" s="1511" t="s">
        <v>165</v>
      </c>
      <c r="D29" s="1511" t="s">
        <v>145</v>
      </c>
      <c r="E29" s="1512"/>
      <c r="F29" s="1513">
        <v>125</v>
      </c>
      <c r="G29" s="1514"/>
      <c r="H29" s="1515"/>
      <c r="I29" s="1513"/>
      <c r="J29" s="1514"/>
      <c r="K29" s="1515"/>
      <c r="L29" s="1516"/>
      <c r="M29" s="1517" t="s">
        <v>1397</v>
      </c>
      <c r="N29" s="1689"/>
      <c r="O29" s="1644"/>
      <c r="P29" s="245" t="b">
        <f t="shared" si="3"/>
        <v>0</v>
      </c>
      <c r="R29" s="245" t="b">
        <f t="shared" si="1"/>
        <v>0</v>
      </c>
      <c r="AO29" s="238" t="str">
        <f t="shared" si="2"/>
        <v>SJ27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167</v>
      </c>
      <c r="D30" s="1511" t="s">
        <v>145</v>
      </c>
      <c r="E30" s="1512"/>
      <c r="F30" s="1513">
        <v>22.680000000000003</v>
      </c>
      <c r="G30" s="1514"/>
      <c r="H30" s="1515"/>
      <c r="I30" s="1513"/>
      <c r="J30" s="1514"/>
      <c r="K30" s="1515"/>
      <c r="L30" s="1516"/>
      <c r="M30" s="1517" t="s">
        <v>1397</v>
      </c>
      <c r="N30" s="1689" t="s">
        <v>116</v>
      </c>
      <c r="O30" s="1644"/>
      <c r="P30" s="245" t="b">
        <f t="shared" si="3"/>
        <v>0</v>
      </c>
      <c r="R30" s="245" t="b">
        <f t="shared" si="1"/>
        <v>0</v>
      </c>
      <c r="AO30" s="238" t="str">
        <f t="shared" si="2"/>
        <v>SJ27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165</v>
      </c>
      <c r="D31" s="1511" t="s">
        <v>145</v>
      </c>
      <c r="E31" s="1512"/>
      <c r="F31" s="1513">
        <v>24</v>
      </c>
      <c r="G31" s="1514"/>
      <c r="H31" s="1515"/>
      <c r="I31" s="1513"/>
      <c r="J31" s="1514"/>
      <c r="K31" s="1515"/>
      <c r="L31" s="1516" t="s">
        <v>116</v>
      </c>
      <c r="M31" s="1516" t="s">
        <v>1397</v>
      </c>
      <c r="N31" s="1689" t="s">
        <v>116</v>
      </c>
      <c r="O31" s="1644"/>
      <c r="P31" s="245" t="b">
        <f t="shared" si="3"/>
        <v>0</v>
      </c>
      <c r="R31" s="245" t="b">
        <f t="shared" si="1"/>
        <v>0</v>
      </c>
      <c r="AO31" s="238" t="str">
        <f t="shared" si="2"/>
        <v>SJ27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1834</v>
      </c>
      <c r="B32" s="1511" t="s">
        <v>151</v>
      </c>
      <c r="C32" s="1511" t="s">
        <v>165</v>
      </c>
      <c r="D32" s="1511" t="s">
        <v>145</v>
      </c>
      <c r="E32" s="1512"/>
      <c r="F32" s="1513">
        <v>125</v>
      </c>
      <c r="G32" s="1514"/>
      <c r="H32" s="1515"/>
      <c r="I32" s="1513"/>
      <c r="J32" s="1514"/>
      <c r="K32" s="1515"/>
      <c r="L32" s="1516"/>
      <c r="M32" s="1516" t="s">
        <v>1397</v>
      </c>
      <c r="N32" s="1689" t="s">
        <v>116</v>
      </c>
      <c r="O32" s="1644"/>
      <c r="P32" s="245" t="b">
        <f t="shared" si="3"/>
        <v>0</v>
      </c>
      <c r="R32" s="245" t="b">
        <f t="shared" si="1"/>
        <v>0</v>
      </c>
      <c r="AO32" s="238" t="str">
        <f t="shared" si="2"/>
        <v>SJ28</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167</v>
      </c>
      <c r="D33" s="1511" t="s">
        <v>145</v>
      </c>
      <c r="E33" s="1512"/>
      <c r="F33" s="1513">
        <v>22.680000000000003</v>
      </c>
      <c r="G33" s="1514"/>
      <c r="H33" s="1515"/>
      <c r="I33" s="1513"/>
      <c r="J33" s="1514"/>
      <c r="K33" s="1515"/>
      <c r="L33" s="1516"/>
      <c r="M33" s="1516" t="s">
        <v>1397</v>
      </c>
      <c r="N33" s="1689" t="s">
        <v>116</v>
      </c>
      <c r="O33" s="1644"/>
      <c r="P33" s="245" t="b">
        <f t="shared" si="3"/>
        <v>0</v>
      </c>
      <c r="R33" s="245" t="b">
        <f t="shared" si="1"/>
        <v>0</v>
      </c>
      <c r="AO33" s="238" t="str">
        <f t="shared" si="2"/>
        <v>SJ28</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165</v>
      </c>
      <c r="D34" s="1511" t="s">
        <v>145</v>
      </c>
      <c r="E34" s="1512"/>
      <c r="F34" s="1513">
        <v>24</v>
      </c>
      <c r="G34" s="1514"/>
      <c r="H34" s="1515"/>
      <c r="I34" s="1513"/>
      <c r="J34" s="1514"/>
      <c r="K34" s="1515"/>
      <c r="L34" s="1516" t="s">
        <v>116</v>
      </c>
      <c r="M34" s="1516" t="s">
        <v>1397</v>
      </c>
      <c r="N34" s="1689" t="s">
        <v>116</v>
      </c>
      <c r="O34" s="1644"/>
      <c r="P34" s="245" t="b">
        <f t="shared" si="3"/>
        <v>0</v>
      </c>
      <c r="R34" s="245" t="b">
        <f t="shared" si="1"/>
        <v>0</v>
      </c>
      <c r="AO34" s="238" t="str">
        <f t="shared" si="2"/>
        <v>SJ28</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1835</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SJ29</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SJ29</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165</v>
      </c>
      <c r="D37" s="1511" t="s">
        <v>145</v>
      </c>
      <c r="E37" s="1512"/>
      <c r="F37" s="1513">
        <v>24</v>
      </c>
      <c r="G37" s="1514"/>
      <c r="H37" s="1515"/>
      <c r="I37" s="1513"/>
      <c r="J37" s="1514"/>
      <c r="K37" s="1515"/>
      <c r="L37" s="1516" t="s">
        <v>116</v>
      </c>
      <c r="M37" s="1516" t="s">
        <v>1397</v>
      </c>
      <c r="N37" s="1689" t="s">
        <v>116</v>
      </c>
      <c r="O37" s="1644"/>
      <c r="P37" s="245" t="b">
        <f t="shared" si="3"/>
        <v>0</v>
      </c>
      <c r="R37" s="245" t="b">
        <f t="shared" si="1"/>
        <v>0</v>
      </c>
      <c r="AO37" s="238" t="str">
        <f t="shared" si="2"/>
        <v>SJ29</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1836</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SJ30</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SJ30</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154</v>
      </c>
      <c r="C40" s="1511" t="s">
        <v>165</v>
      </c>
      <c r="D40" s="1511" t="s">
        <v>145</v>
      </c>
      <c r="E40" s="1512"/>
      <c r="F40" s="1513">
        <v>540</v>
      </c>
      <c r="G40" s="1514"/>
      <c r="H40" s="1515"/>
      <c r="I40" s="1513"/>
      <c r="J40" s="1514"/>
      <c r="K40" s="1515"/>
      <c r="L40" s="1516" t="s">
        <v>116</v>
      </c>
      <c r="M40" s="1516" t="s">
        <v>1397</v>
      </c>
      <c r="N40" s="1689" t="s">
        <v>116</v>
      </c>
      <c r="O40" s="1644"/>
      <c r="P40" s="245" t="b">
        <f t="shared" si="3"/>
        <v>0</v>
      </c>
      <c r="R40" s="245" t="b">
        <f t="shared" si="1"/>
        <v>1</v>
      </c>
      <c r="AO40" s="238" t="str">
        <f t="shared" si="2"/>
        <v>SJ30</v>
      </c>
      <c r="AP40" s="945" t="b">
        <v>0</v>
      </c>
      <c r="AQ40" s="1322"/>
      <c r="AR40" s="1323"/>
      <c r="AS40" s="1323"/>
      <c r="AT40" s="1323"/>
      <c r="AU40" s="1323"/>
      <c r="AV40" s="1323"/>
      <c r="AW40" s="1323"/>
      <c r="AX40" s="1323"/>
      <c r="AY40" s="1323"/>
      <c r="AZ40" s="1323"/>
      <c r="BA40" s="1532"/>
      <c r="BB40" s="1532"/>
      <c r="BC40" s="1533"/>
    </row>
    <row r="41" spans="1:55" ht="14.1" customHeight="1" x14ac:dyDescent="0.2">
      <c r="A41" s="1510" t="s">
        <v>1837</v>
      </c>
      <c r="B41" s="1511" t="s">
        <v>151</v>
      </c>
      <c r="C41" s="1511" t="s">
        <v>165</v>
      </c>
      <c r="D41" s="1511" t="s">
        <v>145</v>
      </c>
      <c r="E41" s="1512"/>
      <c r="F41" s="1513">
        <v>125</v>
      </c>
      <c r="G41" s="1514"/>
      <c r="H41" s="1515"/>
      <c r="I41" s="1513"/>
      <c r="J41" s="1514"/>
      <c r="K41" s="1515"/>
      <c r="L41" s="1516"/>
      <c r="M41" s="1516" t="s">
        <v>1397</v>
      </c>
      <c r="N41" s="1689" t="s">
        <v>116</v>
      </c>
      <c r="O41" s="1644"/>
      <c r="P41" s="245" t="b">
        <f t="shared" si="3"/>
        <v>0</v>
      </c>
      <c r="R41" s="245" t="b">
        <f t="shared" si="1"/>
        <v>0</v>
      </c>
      <c r="AO41" s="238" t="str">
        <f t="shared" si="2"/>
        <v>STJ31</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167</v>
      </c>
      <c r="D42" s="1511" t="s">
        <v>145</v>
      </c>
      <c r="E42" s="1512"/>
      <c r="F42" s="1513">
        <v>22.680000000000003</v>
      </c>
      <c r="G42" s="1514"/>
      <c r="H42" s="1515"/>
      <c r="I42" s="1513"/>
      <c r="J42" s="1514"/>
      <c r="K42" s="1515"/>
      <c r="L42" s="1516"/>
      <c r="M42" s="1516" t="s">
        <v>1397</v>
      </c>
      <c r="N42" s="1689" t="s">
        <v>116</v>
      </c>
      <c r="O42" s="1644"/>
      <c r="P42" s="245" t="b">
        <f t="shared" si="3"/>
        <v>0</v>
      </c>
      <c r="R42" s="245" t="b">
        <f t="shared" si="1"/>
        <v>0</v>
      </c>
      <c r="AO42" s="238" t="str">
        <f t="shared" si="2"/>
        <v>STJ31</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154</v>
      </c>
      <c r="C43" s="1511" t="s">
        <v>165</v>
      </c>
      <c r="D43" s="1511" t="s">
        <v>145</v>
      </c>
      <c r="E43" s="1512"/>
      <c r="F43" s="1513">
        <v>540</v>
      </c>
      <c r="G43" s="1514"/>
      <c r="H43" s="1515"/>
      <c r="I43" s="1513"/>
      <c r="J43" s="1514"/>
      <c r="K43" s="1515"/>
      <c r="L43" s="1516" t="s">
        <v>116</v>
      </c>
      <c r="M43" s="1516" t="s">
        <v>1397</v>
      </c>
      <c r="N43" s="1689" t="s">
        <v>116</v>
      </c>
      <c r="O43" s="1644"/>
      <c r="P43" s="245" t="b">
        <f t="shared" si="3"/>
        <v>0</v>
      </c>
      <c r="R43" s="245" t="b">
        <f t="shared" si="1"/>
        <v>1</v>
      </c>
      <c r="AO43" s="238" t="str">
        <f t="shared" si="2"/>
        <v>STJ31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1838</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SJ32</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167</v>
      </c>
      <c r="D45" s="1511" t="s">
        <v>145</v>
      </c>
      <c r="E45" s="1512"/>
      <c r="F45" s="1513">
        <v>22.680000000000003</v>
      </c>
      <c r="G45" s="1514"/>
      <c r="H45" s="1515"/>
      <c r="I45" s="1513"/>
      <c r="J45" s="1514"/>
      <c r="K45" s="1515"/>
      <c r="L45" s="1516"/>
      <c r="M45" s="1516" t="s">
        <v>1397</v>
      </c>
      <c r="N45" s="1689" t="s">
        <v>116</v>
      </c>
      <c r="O45" s="1644"/>
      <c r="P45" s="245" t="b">
        <f t="shared" si="3"/>
        <v>0</v>
      </c>
      <c r="R45" s="245" t="b">
        <f t="shared" si="1"/>
        <v>0</v>
      </c>
      <c r="AO45" s="238" t="str">
        <f t="shared" si="2"/>
        <v>SJ32</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154</v>
      </c>
      <c r="C46" s="1511" t="s">
        <v>165</v>
      </c>
      <c r="D46" s="1511" t="s">
        <v>145</v>
      </c>
      <c r="E46" s="1512"/>
      <c r="F46" s="1513">
        <v>1100</v>
      </c>
      <c r="G46" s="1514"/>
      <c r="H46" s="1515"/>
      <c r="I46" s="1513"/>
      <c r="J46" s="1514"/>
      <c r="K46" s="1515"/>
      <c r="L46" s="1516" t="s">
        <v>116</v>
      </c>
      <c r="M46" s="1516" t="s">
        <v>1397</v>
      </c>
      <c r="N46" s="1689" t="s">
        <v>116</v>
      </c>
      <c r="O46" s="1644"/>
      <c r="P46" s="245" t="b">
        <f t="shared" si="3"/>
        <v>0</v>
      </c>
      <c r="R46" s="245" t="b">
        <f t="shared" si="1"/>
        <v>1</v>
      </c>
      <c r="AO46" s="238" t="str">
        <f t="shared" si="2"/>
        <v>SJ32</v>
      </c>
      <c r="AP46" s="945" t="b">
        <v>0</v>
      </c>
      <c r="AQ46" s="1322"/>
      <c r="AR46" s="1323"/>
      <c r="AS46" s="1323"/>
      <c r="AT46" s="1323"/>
      <c r="AU46" s="1323"/>
      <c r="AV46" s="1323"/>
      <c r="AW46" s="1323"/>
      <c r="AX46" s="1323"/>
      <c r="AY46" s="1323"/>
      <c r="AZ46" s="1323"/>
      <c r="BA46" s="1532"/>
      <c r="BB46" s="1532"/>
      <c r="BC46" s="1533"/>
    </row>
    <row r="47" spans="1:55" ht="14.1" customHeight="1" x14ac:dyDescent="0.2">
      <c r="A47" s="1510" t="s">
        <v>1839</v>
      </c>
      <c r="B47" s="1511" t="s">
        <v>151</v>
      </c>
      <c r="C47" s="1511" t="s">
        <v>165</v>
      </c>
      <c r="D47" s="1511" t="s">
        <v>145</v>
      </c>
      <c r="E47" s="1512"/>
      <c r="F47" s="1513">
        <v>125</v>
      </c>
      <c r="G47" s="1514"/>
      <c r="H47" s="1515"/>
      <c r="I47" s="1513"/>
      <c r="J47" s="1514"/>
      <c r="K47" s="1515"/>
      <c r="L47" s="1516"/>
      <c r="M47" s="1516" t="s">
        <v>1397</v>
      </c>
      <c r="N47" s="1689" t="s">
        <v>116</v>
      </c>
      <c r="O47" s="1644"/>
      <c r="P47" s="245" t="b">
        <f t="shared" si="3"/>
        <v>0</v>
      </c>
      <c r="R47" s="245" t="b">
        <f t="shared" si="1"/>
        <v>0</v>
      </c>
      <c r="AO47" s="238" t="str">
        <f t="shared" si="2"/>
        <v>SJ33</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167</v>
      </c>
      <c r="D48" s="1511" t="s">
        <v>145</v>
      </c>
      <c r="E48" s="1512"/>
      <c r="F48" s="1513">
        <v>22.680000000000003</v>
      </c>
      <c r="G48" s="1514"/>
      <c r="H48" s="1515"/>
      <c r="I48" s="1513"/>
      <c r="J48" s="1514"/>
      <c r="K48" s="1515"/>
      <c r="L48" s="1516"/>
      <c r="M48" s="1516" t="s">
        <v>1397</v>
      </c>
      <c r="N48" s="1689" t="s">
        <v>116</v>
      </c>
      <c r="O48" s="1644"/>
      <c r="P48" s="245" t="b">
        <f t="shared" si="3"/>
        <v>0</v>
      </c>
      <c r="R48" s="245" t="b">
        <f t="shared" si="1"/>
        <v>0</v>
      </c>
      <c r="AO48" s="238" t="str">
        <f t="shared" si="2"/>
        <v>SJ33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163</v>
      </c>
      <c r="D49" s="1511" t="s">
        <v>145</v>
      </c>
      <c r="E49" s="1512"/>
      <c r="F49" s="1513">
        <v>154</v>
      </c>
      <c r="G49" s="1514"/>
      <c r="H49" s="1515"/>
      <c r="I49" s="1513"/>
      <c r="J49" s="1514"/>
      <c r="K49" s="1515"/>
      <c r="L49" s="1516" t="s">
        <v>116</v>
      </c>
      <c r="M49" s="1516" t="s">
        <v>1397</v>
      </c>
      <c r="N49" s="1689" t="s">
        <v>116</v>
      </c>
      <c r="O49" s="1644"/>
      <c r="P49" s="245" t="b">
        <f t="shared" si="3"/>
        <v>0</v>
      </c>
      <c r="R49" s="245" t="b">
        <f t="shared" si="1"/>
        <v>0</v>
      </c>
      <c r="AO49" s="238" t="str">
        <f t="shared" si="2"/>
        <v>SJ33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165</v>
      </c>
      <c r="D50" s="1511" t="s">
        <v>145</v>
      </c>
      <c r="E50" s="1512"/>
      <c r="F50" s="1513">
        <v>24</v>
      </c>
      <c r="G50" s="1514"/>
      <c r="H50" s="1515"/>
      <c r="I50" s="1513"/>
      <c r="J50" s="1514"/>
      <c r="K50" s="1515"/>
      <c r="L50" s="1516" t="s">
        <v>116</v>
      </c>
      <c r="M50" s="1516" t="s">
        <v>1397</v>
      </c>
      <c r="N50" s="1689" t="s">
        <v>116</v>
      </c>
      <c r="O50" s="1644"/>
      <c r="P50" s="245" t="b">
        <f t="shared" si="3"/>
        <v>0</v>
      </c>
      <c r="R50" s="245" t="b">
        <f t="shared" si="1"/>
        <v>0</v>
      </c>
      <c r="AO50" s="238" t="str">
        <f t="shared" si="2"/>
        <v>SJ33</v>
      </c>
      <c r="AP50" s="945" t="b">
        <v>0</v>
      </c>
      <c r="AQ50" s="1322"/>
      <c r="AR50" s="1323"/>
      <c r="AS50" s="1323"/>
      <c r="AT50" s="1323"/>
      <c r="AU50" s="1323"/>
      <c r="AV50" s="1323"/>
      <c r="AW50" s="1323"/>
      <c r="AX50" s="1323"/>
      <c r="AY50" s="1323"/>
      <c r="AZ50" s="1323"/>
      <c r="BA50" s="1532"/>
      <c r="BB50" s="1532"/>
      <c r="BC50" s="1533"/>
    </row>
    <row r="51" spans="1:55" ht="14.1" customHeight="1" x14ac:dyDescent="0.2">
      <c r="A51" s="1510" t="s">
        <v>1840</v>
      </c>
      <c r="B51" s="1511" t="s">
        <v>151</v>
      </c>
      <c r="C51" s="1511" t="s">
        <v>165</v>
      </c>
      <c r="D51" s="1511" t="s">
        <v>145</v>
      </c>
      <c r="E51" s="1512"/>
      <c r="F51" s="1513">
        <v>125</v>
      </c>
      <c r="G51" s="1514"/>
      <c r="H51" s="1515"/>
      <c r="I51" s="1513"/>
      <c r="J51" s="1514"/>
      <c r="K51" s="1515"/>
      <c r="L51" s="1516"/>
      <c r="M51" s="1516" t="s">
        <v>1397</v>
      </c>
      <c r="N51" s="1689" t="s">
        <v>116</v>
      </c>
      <c r="O51" s="1644"/>
      <c r="P51" s="245" t="b">
        <f t="shared" si="3"/>
        <v>0</v>
      </c>
      <c r="R51" s="245" t="b">
        <f t="shared" si="1"/>
        <v>0</v>
      </c>
      <c r="AO51" s="238" t="str">
        <f t="shared" si="2"/>
        <v>SJ34</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167</v>
      </c>
      <c r="D52" s="1511" t="s">
        <v>145</v>
      </c>
      <c r="E52" s="1512"/>
      <c r="F52" s="1513">
        <v>22.680000000000003</v>
      </c>
      <c r="G52" s="1514"/>
      <c r="H52" s="1515"/>
      <c r="I52" s="1513"/>
      <c r="J52" s="1514"/>
      <c r="K52" s="1515"/>
      <c r="L52" s="1516"/>
      <c r="M52" s="1516" t="s">
        <v>1397</v>
      </c>
      <c r="N52" s="1689" t="s">
        <v>116</v>
      </c>
      <c r="O52" s="1644"/>
      <c r="P52" s="245" t="b">
        <f t="shared" si="3"/>
        <v>0</v>
      </c>
      <c r="R52" s="245" t="b">
        <f t="shared" si="1"/>
        <v>0</v>
      </c>
      <c r="AO52" s="238" t="str">
        <f t="shared" si="2"/>
        <v>SJ34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163</v>
      </c>
      <c r="D53" s="1511" t="s">
        <v>145</v>
      </c>
      <c r="E53" s="1512"/>
      <c r="F53" s="1513">
        <v>60</v>
      </c>
      <c r="G53" s="1514"/>
      <c r="H53" s="1515"/>
      <c r="I53" s="1513"/>
      <c r="J53" s="1514"/>
      <c r="K53" s="1515"/>
      <c r="L53" s="1516" t="s">
        <v>116</v>
      </c>
      <c r="M53" s="1516" t="s">
        <v>1397</v>
      </c>
      <c r="N53" s="1689" t="s">
        <v>116</v>
      </c>
      <c r="O53" s="1644"/>
      <c r="P53" s="245" t="b">
        <f t="shared" si="3"/>
        <v>0</v>
      </c>
      <c r="R53" s="245" t="b">
        <f t="shared" si="1"/>
        <v>0</v>
      </c>
      <c r="AO53" s="238" t="str">
        <f t="shared" si="2"/>
        <v>SJ34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1841</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SJ35</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SJ35</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59" priority="4" stopIfTrue="1">
      <formula>AND($B14="NU",F14&lt;0)</formula>
    </cfRule>
  </conditionalFormatting>
  <conditionalFormatting sqref="B14:B55">
    <cfRule type="expression" dxfId="158" priority="5" stopIfTrue="1">
      <formula>OR(AND($B14="NU",F14&lt;0),AND($B14="NU",I14&lt;0))</formula>
    </cfRule>
  </conditionalFormatting>
  <conditionalFormatting sqref="G14:H55 J14:L55">
    <cfRule type="expression" dxfId="157" priority="6" stopIfTrue="1">
      <formula>$R14</formula>
    </cfRule>
  </conditionalFormatting>
  <conditionalFormatting sqref="I2:K4">
    <cfRule type="cellIs" dxfId="156" priority="7" stopIfTrue="1" operator="equal">
      <formula>""</formula>
    </cfRule>
  </conditionalFormatting>
  <conditionalFormatting sqref="I14:I55">
    <cfRule type="expression" dxfId="155" priority="8" stopIfTrue="1">
      <formula>OR($R14,$B14="CZ",AND($B14="NU",I14&lt;0))</formula>
    </cfRule>
  </conditionalFormatting>
  <conditionalFormatting sqref="A14:A55">
    <cfRule type="expression" dxfId="154" priority="3">
      <formula>NOT($P14)</formula>
    </cfRule>
  </conditionalFormatting>
  <conditionalFormatting sqref="B14:D55">
    <cfRule type="expression" dxfId="1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52" priority="9">
      <formula>AND(NOT($P14),$T$1)</formula>
    </cfRule>
    <cfRule type="expression" dxfId="151" priority="10">
      <formula>AND($AP14,$S$1="M")</formula>
    </cfRule>
  </conditionalFormatting>
  <conditionalFormatting sqref="L14:L55">
    <cfRule type="expression" dxfId="1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C56ABA8-FF2C-45CF-A984-3A96D218C844}">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AA0E741-7263-457C-B715-F97EABCA5DA3}">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44973393-CC75-45CC-984C-B826C4B8BF3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1E9D8FC-5831-4419-A21C-0565717FD409}">
      <formula1>IF($CA$14,$CA$16:$CA$21,$CB$16:$CB$19)</formula1>
    </dataValidation>
    <dataValidation type="list" allowBlank="1" showErrorMessage="1" errorTitle="Invalid Type" error="You MUST select a Type from the dropdown list provided._x000a__x000a_Also, make sure your Cap Lock is turned on." sqref="B14:B55" xr:uid="{400F1A5D-482B-442C-84B8-75DE970D76D4}">
      <formula1>$BF$15:$BU$15</formula1>
    </dataValidation>
    <dataValidation allowBlank="1" showInputMessage="1" errorTitle="Invalid Load Case" error="You MUST use a Load Case from the list provided." sqref="M14:M55" xr:uid="{706765AE-0B17-4F91-8C53-00D113E7654F}"/>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A14E7-194C-4B03-B5BA-518C09973C3B}">
  <sheetPr codeName="Sheet4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4</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1842</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SJ36</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SJ36</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1843</v>
      </c>
      <c r="B17" s="1511" t="s">
        <v>151</v>
      </c>
      <c r="C17" s="1511" t="s">
        <v>165</v>
      </c>
      <c r="D17" s="1511" t="s">
        <v>145</v>
      </c>
      <c r="E17" s="1512"/>
      <c r="F17" s="1513">
        <v>125</v>
      </c>
      <c r="G17" s="1514"/>
      <c r="H17" s="1515"/>
      <c r="I17" s="1513"/>
      <c r="J17" s="1514"/>
      <c r="K17" s="1515"/>
      <c r="L17" s="1516"/>
      <c r="M17" s="1517" t="s">
        <v>1397</v>
      </c>
      <c r="N17" s="1689"/>
      <c r="O17" s="1644"/>
      <c r="P17" s="245" t="b">
        <f>IF(ISERROR(VLOOKUP(AO17,BE:BE,1,FALSE)),FALSE,IF(AO17&lt;&gt;"",VLOOKUP(AO17,BE:BE,1,FALSE)=AO17))</f>
        <v>0</v>
      </c>
      <c r="R17" s="245" t="b">
        <f t="shared" si="1"/>
        <v>0</v>
      </c>
      <c r="AO17" s="238" t="str">
        <f t="shared" si="2"/>
        <v>SJ37</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22.680000000000003</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SJ37</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154</v>
      </c>
      <c r="C19" s="1511" t="s">
        <v>165</v>
      </c>
      <c r="D19" s="1511" t="s">
        <v>145</v>
      </c>
      <c r="E19" s="1512"/>
      <c r="F19" s="1513">
        <v>540</v>
      </c>
      <c r="G19" s="1514"/>
      <c r="H19" s="1515"/>
      <c r="I19" s="1513"/>
      <c r="J19" s="1514"/>
      <c r="K19" s="1515"/>
      <c r="L19" s="1516" t="s">
        <v>116</v>
      </c>
      <c r="M19" s="1517" t="s">
        <v>1397</v>
      </c>
      <c r="N19" s="1689" t="s">
        <v>116</v>
      </c>
      <c r="O19" s="1644"/>
      <c r="P19" s="245" t="b">
        <f t="shared" si="3"/>
        <v>0</v>
      </c>
      <c r="R19" s="245" t="b">
        <f t="shared" si="1"/>
        <v>1</v>
      </c>
      <c r="AO19" s="238" t="str">
        <f t="shared" si="2"/>
        <v>SJ37</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165</v>
      </c>
      <c r="D20" s="1511" t="s">
        <v>145</v>
      </c>
      <c r="E20" s="1512"/>
      <c r="F20" s="1513">
        <v>24</v>
      </c>
      <c r="G20" s="1514"/>
      <c r="H20" s="1515"/>
      <c r="I20" s="1513"/>
      <c r="J20" s="1514"/>
      <c r="K20" s="1515"/>
      <c r="L20" s="1516" t="s">
        <v>116</v>
      </c>
      <c r="M20" s="1517" t="s">
        <v>1397</v>
      </c>
      <c r="N20" s="1518"/>
      <c r="O20" s="1645"/>
      <c r="P20" s="245" t="b">
        <f t="shared" si="3"/>
        <v>0</v>
      </c>
      <c r="R20" s="245" t="b">
        <f t="shared" si="1"/>
        <v>0</v>
      </c>
      <c r="AO20" s="238" t="str">
        <f t="shared" si="2"/>
        <v>SJ37</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146</v>
      </c>
      <c r="C21" s="1511" t="s">
        <v>165</v>
      </c>
      <c r="D21" s="1511" t="s">
        <v>145</v>
      </c>
      <c r="E21" s="1512"/>
      <c r="F21" s="1513">
        <v>150</v>
      </c>
      <c r="G21" s="1514">
        <v>18</v>
      </c>
      <c r="H21" s="1515">
        <v>0</v>
      </c>
      <c r="I21" s="1513"/>
      <c r="J21" s="1514"/>
      <c r="K21" s="1515"/>
      <c r="L21" s="1516" t="s">
        <v>700</v>
      </c>
      <c r="M21" s="1517" t="s">
        <v>1397</v>
      </c>
      <c r="N21" s="1518"/>
      <c r="O21" s="1645"/>
      <c r="P21" s="245" t="b">
        <f t="shared" si="3"/>
        <v>0</v>
      </c>
      <c r="R21" s="245" t="b">
        <f t="shared" si="1"/>
        <v>0</v>
      </c>
      <c r="AO21" s="238" t="str">
        <f t="shared" si="2"/>
        <v>SJ37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1844</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SJ38</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SJ38</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165</v>
      </c>
      <c r="D24" s="1511" t="s">
        <v>145</v>
      </c>
      <c r="E24" s="1512"/>
      <c r="F24" s="1513">
        <v>24</v>
      </c>
      <c r="G24" s="1514"/>
      <c r="H24" s="1515"/>
      <c r="I24" s="1513"/>
      <c r="J24" s="1514"/>
      <c r="K24" s="1515"/>
      <c r="L24" s="1516" t="s">
        <v>116</v>
      </c>
      <c r="M24" s="1517" t="s">
        <v>1397</v>
      </c>
      <c r="N24" s="1518"/>
      <c r="O24" s="1645"/>
      <c r="P24" s="245" t="b">
        <f t="shared" si="3"/>
        <v>0</v>
      </c>
      <c r="R24" s="245" t="b">
        <f t="shared" si="1"/>
        <v>0</v>
      </c>
      <c r="AO24" s="238" t="str">
        <f t="shared" si="2"/>
        <v>SJ38</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146</v>
      </c>
      <c r="C25" s="1511" t="s">
        <v>165</v>
      </c>
      <c r="D25" s="1511" t="s">
        <v>145</v>
      </c>
      <c r="E25" s="1512"/>
      <c r="F25" s="1513">
        <v>150</v>
      </c>
      <c r="G25" s="1514">
        <v>18</v>
      </c>
      <c r="H25" s="1515">
        <v>0</v>
      </c>
      <c r="I25" s="1513"/>
      <c r="J25" s="1514"/>
      <c r="K25" s="1515"/>
      <c r="L25" s="1516" t="s">
        <v>700</v>
      </c>
      <c r="M25" s="1517" t="s">
        <v>1397</v>
      </c>
      <c r="N25" s="1518"/>
      <c r="O25" s="1645"/>
      <c r="P25" s="245" t="b">
        <f t="shared" si="3"/>
        <v>0</v>
      </c>
      <c r="R25" s="245" t="b">
        <f t="shared" si="1"/>
        <v>0</v>
      </c>
      <c r="AO25" s="238" t="str">
        <f t="shared" si="2"/>
        <v>SJ38</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1845</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SJ39</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167</v>
      </c>
      <c r="D27" s="1511" t="s">
        <v>145</v>
      </c>
      <c r="E27" s="1512"/>
      <c r="F27" s="1513">
        <v>22.680000000000003</v>
      </c>
      <c r="G27" s="1514"/>
      <c r="H27" s="1515"/>
      <c r="I27" s="1513"/>
      <c r="J27" s="1514"/>
      <c r="K27" s="1515"/>
      <c r="L27" s="1516"/>
      <c r="M27" s="1517" t="s">
        <v>1397</v>
      </c>
      <c r="N27" s="1518"/>
      <c r="O27" s="1645"/>
      <c r="P27" s="245" t="b">
        <f t="shared" si="3"/>
        <v>0</v>
      </c>
      <c r="R27" s="245" t="b">
        <f t="shared" si="1"/>
        <v>0</v>
      </c>
      <c r="AO27" s="238" t="str">
        <f t="shared" si="2"/>
        <v>SJ39</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154</v>
      </c>
      <c r="G28" s="1514"/>
      <c r="H28" s="1515"/>
      <c r="I28" s="1513"/>
      <c r="J28" s="1514"/>
      <c r="K28" s="1515"/>
      <c r="L28" s="1516" t="s">
        <v>116</v>
      </c>
      <c r="M28" s="1517" t="s">
        <v>1397</v>
      </c>
      <c r="N28" s="1689"/>
      <c r="O28" s="1644"/>
      <c r="P28" s="245" t="b">
        <f t="shared" si="3"/>
        <v>0</v>
      </c>
      <c r="R28" s="245" t="b">
        <f t="shared" si="1"/>
        <v>0</v>
      </c>
      <c r="AO28" s="238" t="str">
        <f t="shared" si="2"/>
        <v>SJ39</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165</v>
      </c>
      <c r="D29" s="1511" t="s">
        <v>145</v>
      </c>
      <c r="E29" s="1512"/>
      <c r="F29" s="1513">
        <v>24</v>
      </c>
      <c r="G29" s="1514"/>
      <c r="H29" s="1515"/>
      <c r="I29" s="1513"/>
      <c r="J29" s="1514"/>
      <c r="K29" s="1515"/>
      <c r="L29" s="1516" t="s">
        <v>116</v>
      </c>
      <c r="M29" s="1517" t="s">
        <v>1397</v>
      </c>
      <c r="N29" s="1689"/>
      <c r="O29" s="1644"/>
      <c r="P29" s="245" t="b">
        <f t="shared" si="3"/>
        <v>0</v>
      </c>
      <c r="R29" s="245" t="b">
        <f t="shared" si="1"/>
        <v>0</v>
      </c>
      <c r="AO29" s="238" t="str">
        <f t="shared" si="2"/>
        <v>SJ39</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t="s">
        <v>1846</v>
      </c>
      <c r="B30" s="1511" t="s">
        <v>151</v>
      </c>
      <c r="C30" s="1511" t="s">
        <v>165</v>
      </c>
      <c r="D30" s="1511" t="s">
        <v>145</v>
      </c>
      <c r="E30" s="1512"/>
      <c r="F30" s="1513">
        <v>125</v>
      </c>
      <c r="G30" s="1514"/>
      <c r="H30" s="1515"/>
      <c r="I30" s="1513"/>
      <c r="J30" s="1514"/>
      <c r="K30" s="1515"/>
      <c r="L30" s="1516"/>
      <c r="M30" s="1517" t="s">
        <v>1397</v>
      </c>
      <c r="N30" s="1689" t="s">
        <v>116</v>
      </c>
      <c r="O30" s="1644"/>
      <c r="P30" s="245" t="b">
        <f t="shared" si="3"/>
        <v>0</v>
      </c>
      <c r="R30" s="245" t="b">
        <f t="shared" si="1"/>
        <v>0</v>
      </c>
      <c r="AO30" s="238" t="str">
        <f t="shared" si="2"/>
        <v>SJ40</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167</v>
      </c>
      <c r="D31" s="1511" t="s">
        <v>145</v>
      </c>
      <c r="E31" s="1512"/>
      <c r="F31" s="1513">
        <v>22.680000000000003</v>
      </c>
      <c r="G31" s="1514"/>
      <c r="H31" s="1515"/>
      <c r="I31" s="1513"/>
      <c r="J31" s="1514"/>
      <c r="K31" s="1515"/>
      <c r="L31" s="1516"/>
      <c r="M31" s="1516" t="s">
        <v>1397</v>
      </c>
      <c r="N31" s="1689" t="s">
        <v>116</v>
      </c>
      <c r="O31" s="1644"/>
      <c r="P31" s="245" t="b">
        <f t="shared" si="3"/>
        <v>0</v>
      </c>
      <c r="R31" s="245" t="b">
        <f t="shared" si="1"/>
        <v>0</v>
      </c>
      <c r="AO31" s="238" t="str">
        <f t="shared" si="2"/>
        <v>SJ40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163</v>
      </c>
      <c r="D32" s="1511" t="s">
        <v>145</v>
      </c>
      <c r="E32" s="1512"/>
      <c r="F32" s="1513">
        <v>60</v>
      </c>
      <c r="G32" s="1514"/>
      <c r="H32" s="1515"/>
      <c r="I32" s="1513"/>
      <c r="J32" s="1514"/>
      <c r="K32" s="1515"/>
      <c r="L32" s="1516" t="s">
        <v>116</v>
      </c>
      <c r="M32" s="1516" t="s">
        <v>1397</v>
      </c>
      <c r="N32" s="1689" t="s">
        <v>116</v>
      </c>
      <c r="O32" s="1644"/>
      <c r="P32" s="245" t="b">
        <f t="shared" si="3"/>
        <v>0</v>
      </c>
      <c r="R32" s="245" t="b">
        <f t="shared" si="1"/>
        <v>0</v>
      </c>
      <c r="AO32" s="238" t="str">
        <f t="shared" si="2"/>
        <v>SJ40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1847</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SJ41</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167</v>
      </c>
      <c r="D34" s="1511" t="s">
        <v>145</v>
      </c>
      <c r="E34" s="1512"/>
      <c r="F34" s="1513">
        <v>22.680000000000003</v>
      </c>
      <c r="G34" s="1514"/>
      <c r="H34" s="1515"/>
      <c r="I34" s="1513"/>
      <c r="J34" s="1514"/>
      <c r="K34" s="1515"/>
      <c r="L34" s="1516"/>
      <c r="M34" s="1516" t="s">
        <v>1397</v>
      </c>
      <c r="N34" s="1689" t="s">
        <v>116</v>
      </c>
      <c r="O34" s="1644"/>
      <c r="P34" s="245" t="b">
        <f t="shared" si="3"/>
        <v>0</v>
      </c>
      <c r="R34" s="245" t="b">
        <f t="shared" si="1"/>
        <v>0</v>
      </c>
      <c r="AO34" s="238" t="str">
        <f t="shared" si="2"/>
        <v>SJ41</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4</v>
      </c>
      <c r="G35" s="1514"/>
      <c r="H35" s="1515"/>
      <c r="I35" s="1513"/>
      <c r="J35" s="1514"/>
      <c r="K35" s="1515"/>
      <c r="L35" s="1516" t="s">
        <v>116</v>
      </c>
      <c r="M35" s="1516" t="s">
        <v>1397</v>
      </c>
      <c r="N35" s="1689" t="s">
        <v>116</v>
      </c>
      <c r="O35" s="1644"/>
      <c r="P35" s="245" t="b">
        <f t="shared" si="3"/>
        <v>0</v>
      </c>
      <c r="R35" s="245" t="b">
        <f t="shared" si="1"/>
        <v>0</v>
      </c>
      <c r="AO35" s="238" t="str">
        <f t="shared" si="2"/>
        <v>SJ41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1848</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SJ42</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167</v>
      </c>
      <c r="D37" s="1511" t="s">
        <v>145</v>
      </c>
      <c r="E37" s="1512"/>
      <c r="F37" s="1513">
        <v>22.680000000000003</v>
      </c>
      <c r="G37" s="1514"/>
      <c r="H37" s="1515"/>
      <c r="I37" s="1513"/>
      <c r="J37" s="1514"/>
      <c r="K37" s="1515"/>
      <c r="L37" s="1516"/>
      <c r="M37" s="1516" t="s">
        <v>1397</v>
      </c>
      <c r="N37" s="1689" t="s">
        <v>116</v>
      </c>
      <c r="O37" s="1644"/>
      <c r="P37" s="245" t="b">
        <f t="shared" si="3"/>
        <v>0</v>
      </c>
      <c r="R37" s="245" t="b">
        <f t="shared" si="1"/>
        <v>0</v>
      </c>
      <c r="AO37" s="238" t="str">
        <f t="shared" si="2"/>
        <v>SJ42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1849</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SJ43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SJ43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1850</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STJ44</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STJ44</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1851</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SJ45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167</v>
      </c>
      <c r="D43" s="1511" t="s">
        <v>145</v>
      </c>
      <c r="E43" s="1512"/>
      <c r="F43" s="1513">
        <v>22.680000000000003</v>
      </c>
      <c r="G43" s="1514"/>
      <c r="H43" s="1515"/>
      <c r="I43" s="1513"/>
      <c r="J43" s="1514"/>
      <c r="K43" s="1515"/>
      <c r="L43" s="1516"/>
      <c r="M43" s="1516" t="s">
        <v>1397</v>
      </c>
      <c r="N43" s="1689" t="s">
        <v>116</v>
      </c>
      <c r="O43" s="1644"/>
      <c r="P43" s="245" t="b">
        <f t="shared" si="3"/>
        <v>0</v>
      </c>
      <c r="R43" s="245" t="b">
        <f t="shared" si="1"/>
        <v>0</v>
      </c>
      <c r="AO43" s="238" t="str">
        <f t="shared" si="2"/>
        <v>SJ45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165</v>
      </c>
      <c r="D44" s="1511" t="s">
        <v>145</v>
      </c>
      <c r="E44" s="1512"/>
      <c r="F44" s="1513">
        <v>24</v>
      </c>
      <c r="G44" s="1514"/>
      <c r="H44" s="1515"/>
      <c r="I44" s="1513"/>
      <c r="J44" s="1514"/>
      <c r="K44" s="1515"/>
      <c r="L44" s="1516" t="s">
        <v>116</v>
      </c>
      <c r="M44" s="1516" t="s">
        <v>1397</v>
      </c>
      <c r="N44" s="1689" t="s">
        <v>116</v>
      </c>
      <c r="O44" s="1644"/>
      <c r="P44" s="245" t="b">
        <f t="shared" si="3"/>
        <v>0</v>
      </c>
      <c r="R44" s="245" t="b">
        <f t="shared" si="1"/>
        <v>0</v>
      </c>
      <c r="AO44" s="238" t="str">
        <f t="shared" si="2"/>
        <v>SJ45</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1852</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SJ46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167</v>
      </c>
      <c r="D46" s="1511" t="s">
        <v>145</v>
      </c>
      <c r="E46" s="1512"/>
      <c r="F46" s="1513">
        <v>22.680000000000003</v>
      </c>
      <c r="G46" s="1514"/>
      <c r="H46" s="1515"/>
      <c r="I46" s="1513"/>
      <c r="J46" s="1514"/>
      <c r="K46" s="1515"/>
      <c r="L46" s="1516"/>
      <c r="M46" s="1516" t="s">
        <v>1397</v>
      </c>
      <c r="N46" s="1689" t="s">
        <v>116</v>
      </c>
      <c r="O46" s="1644"/>
      <c r="P46" s="245" t="b">
        <f t="shared" si="3"/>
        <v>0</v>
      </c>
      <c r="R46" s="245" t="b">
        <f t="shared" si="1"/>
        <v>0</v>
      </c>
      <c r="AO46" s="238" t="str">
        <f t="shared" si="2"/>
        <v>SJ46</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165</v>
      </c>
      <c r="D47" s="1511" t="s">
        <v>145</v>
      </c>
      <c r="E47" s="1512"/>
      <c r="F47" s="1513">
        <v>24</v>
      </c>
      <c r="G47" s="1514"/>
      <c r="H47" s="1515"/>
      <c r="I47" s="1513"/>
      <c r="J47" s="1514"/>
      <c r="K47" s="1515"/>
      <c r="L47" s="1516" t="s">
        <v>116</v>
      </c>
      <c r="M47" s="1516" t="s">
        <v>1397</v>
      </c>
      <c r="N47" s="1689" t="s">
        <v>116</v>
      </c>
      <c r="O47" s="1644"/>
      <c r="P47" s="245" t="b">
        <f t="shared" si="3"/>
        <v>0</v>
      </c>
      <c r="R47" s="245" t="b">
        <f t="shared" si="1"/>
        <v>0</v>
      </c>
      <c r="AO47" s="238" t="str">
        <f t="shared" si="2"/>
        <v>SJ46</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1853</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SJ47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167</v>
      </c>
      <c r="D49" s="1511" t="s">
        <v>145</v>
      </c>
      <c r="E49" s="1512"/>
      <c r="F49" s="1513">
        <v>22.680000000000003</v>
      </c>
      <c r="G49" s="1514"/>
      <c r="H49" s="1515"/>
      <c r="I49" s="1513"/>
      <c r="J49" s="1514"/>
      <c r="K49" s="1515"/>
      <c r="L49" s="1516"/>
      <c r="M49" s="1516" t="s">
        <v>1397</v>
      </c>
      <c r="N49" s="1689" t="s">
        <v>116</v>
      </c>
      <c r="O49" s="1644"/>
      <c r="P49" s="245" t="b">
        <f t="shared" si="3"/>
        <v>0</v>
      </c>
      <c r="R49" s="245" t="b">
        <f t="shared" si="1"/>
        <v>0</v>
      </c>
      <c r="AO49" s="238" t="str">
        <f t="shared" si="2"/>
        <v>SJ47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163</v>
      </c>
      <c r="D50" s="1511" t="s">
        <v>145</v>
      </c>
      <c r="E50" s="1512"/>
      <c r="F50" s="1513">
        <v>446</v>
      </c>
      <c r="G50" s="1514"/>
      <c r="H50" s="1515"/>
      <c r="I50" s="1513"/>
      <c r="J50" s="1514"/>
      <c r="K50" s="1515"/>
      <c r="L50" s="1516" t="s">
        <v>116</v>
      </c>
      <c r="M50" s="1516" t="s">
        <v>1397</v>
      </c>
      <c r="N50" s="1689" t="s">
        <v>116</v>
      </c>
      <c r="O50" s="1644"/>
      <c r="P50" s="245" t="b">
        <f t="shared" si="3"/>
        <v>0</v>
      </c>
      <c r="R50" s="245" t="b">
        <f t="shared" si="1"/>
        <v>0</v>
      </c>
      <c r="AO50" s="238" t="str">
        <f t="shared" si="2"/>
        <v>SJ47</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163</v>
      </c>
      <c r="D51" s="1511" t="s">
        <v>145</v>
      </c>
      <c r="E51" s="1512"/>
      <c r="F51" s="1513">
        <v>104</v>
      </c>
      <c r="G51" s="1514">
        <v>0</v>
      </c>
      <c r="H51" s="1515">
        <v>0</v>
      </c>
      <c r="I51" s="1513">
        <v>0</v>
      </c>
      <c r="J51" s="1514">
        <v>6</v>
      </c>
      <c r="K51" s="1515">
        <v>3.125</v>
      </c>
      <c r="L51" s="1516" t="s">
        <v>702</v>
      </c>
      <c r="M51" s="1516" t="s">
        <v>1397</v>
      </c>
      <c r="N51" s="1689" t="s">
        <v>116</v>
      </c>
      <c r="O51" s="1644"/>
      <c r="P51" s="245" t="b">
        <f t="shared" si="3"/>
        <v>0</v>
      </c>
      <c r="R51" s="245" t="b">
        <f t="shared" si="1"/>
        <v>0</v>
      </c>
      <c r="AO51" s="238" t="str">
        <f t="shared" si="2"/>
        <v>SJ47</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165</v>
      </c>
      <c r="D52" s="1511" t="s">
        <v>145</v>
      </c>
      <c r="E52" s="1512"/>
      <c r="F52" s="1513">
        <v>24</v>
      </c>
      <c r="G52" s="1514"/>
      <c r="H52" s="1515"/>
      <c r="I52" s="1513"/>
      <c r="J52" s="1514"/>
      <c r="K52" s="1515"/>
      <c r="L52" s="1516" t="s">
        <v>116</v>
      </c>
      <c r="M52" s="1516" t="s">
        <v>1397</v>
      </c>
      <c r="N52" s="1689" t="s">
        <v>116</v>
      </c>
      <c r="O52" s="1644"/>
      <c r="P52" s="245" t="b">
        <f t="shared" si="3"/>
        <v>0</v>
      </c>
      <c r="R52" s="245" t="b">
        <f t="shared" si="1"/>
        <v>0</v>
      </c>
      <c r="AO52" s="238" t="str">
        <f t="shared" si="2"/>
        <v>SJ47</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1854</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SJ48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167</v>
      </c>
      <c r="D54" s="1511" t="s">
        <v>145</v>
      </c>
      <c r="E54" s="1512"/>
      <c r="F54" s="1513">
        <v>22.680000000000003</v>
      </c>
      <c r="G54" s="1514"/>
      <c r="H54" s="1515"/>
      <c r="I54" s="1513"/>
      <c r="J54" s="1514"/>
      <c r="K54" s="1515"/>
      <c r="L54" s="1516"/>
      <c r="M54" s="1516" t="s">
        <v>1397</v>
      </c>
      <c r="N54" s="1689" t="s">
        <v>116</v>
      </c>
      <c r="O54" s="1644"/>
      <c r="P54" s="245" t="b">
        <f t="shared" si="3"/>
        <v>0</v>
      </c>
      <c r="R54" s="245" t="b">
        <f t="shared" si="1"/>
        <v>0</v>
      </c>
      <c r="AO54" s="238" t="str">
        <f t="shared" si="2"/>
        <v>SJ48</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342</v>
      </c>
      <c r="G55" s="1523"/>
      <c r="H55" s="1524"/>
      <c r="I55" s="1522"/>
      <c r="J55" s="1523"/>
      <c r="K55" s="1524"/>
      <c r="L55" s="1525" t="s">
        <v>116</v>
      </c>
      <c r="M55" s="1525" t="s">
        <v>1397</v>
      </c>
      <c r="N55" s="1690"/>
      <c r="O55" s="1644"/>
      <c r="P55" s="245" t="b">
        <f t="shared" si="3"/>
        <v>0</v>
      </c>
      <c r="R55" s="245" t="b">
        <f t="shared" si="1"/>
        <v>0</v>
      </c>
      <c r="AO55" s="238" t="str">
        <f t="shared" si="2"/>
        <v>SJ48</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9" priority="4" stopIfTrue="1">
      <formula>AND($B14="NU",F14&lt;0)</formula>
    </cfRule>
  </conditionalFormatting>
  <conditionalFormatting sqref="B14:B55">
    <cfRule type="expression" dxfId="148" priority="5" stopIfTrue="1">
      <formula>OR(AND($B14="NU",F14&lt;0),AND($B14="NU",I14&lt;0))</formula>
    </cfRule>
  </conditionalFormatting>
  <conditionalFormatting sqref="G14:H55 J14:L55">
    <cfRule type="expression" dxfId="147" priority="6" stopIfTrue="1">
      <formula>$R14</formula>
    </cfRule>
  </conditionalFormatting>
  <conditionalFormatting sqref="I2:K4">
    <cfRule type="cellIs" dxfId="146" priority="7" stopIfTrue="1" operator="equal">
      <formula>""</formula>
    </cfRule>
  </conditionalFormatting>
  <conditionalFormatting sqref="I14:I55">
    <cfRule type="expression" dxfId="145" priority="8" stopIfTrue="1">
      <formula>OR($R14,$B14="CZ",AND($B14="NU",I14&lt;0))</formula>
    </cfRule>
  </conditionalFormatting>
  <conditionalFormatting sqref="A14:A55">
    <cfRule type="expression" dxfId="144" priority="3">
      <formula>NOT($P14)</formula>
    </cfRule>
  </conditionalFormatting>
  <conditionalFormatting sqref="B14:D55">
    <cfRule type="expression" dxfId="1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42" priority="9">
      <formula>AND(NOT($P14),$T$1)</formula>
    </cfRule>
    <cfRule type="expression" dxfId="141" priority="10">
      <formula>AND($AP14,$S$1="M")</formula>
    </cfRule>
  </conditionalFormatting>
  <conditionalFormatting sqref="L14:L55">
    <cfRule type="expression" dxfId="1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9BB7981-735B-47A1-B19D-7FF722FC893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9F40E20-2526-46EE-90D8-16A83354B37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60C128C8-E58F-49C0-8B90-D9E8F82CDEF7}">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F3798CA-0569-4DBB-AF6B-649B4689240D}">
      <formula1>IF($CA$14,$CA$16:$CA$21,$CB$16:$CB$19)</formula1>
    </dataValidation>
    <dataValidation type="list" allowBlank="1" showErrorMessage="1" errorTitle="Invalid Type" error="You MUST select a Type from the dropdown list provided._x000a__x000a_Also, make sure your Cap Lock is turned on." sqref="B14:B55" xr:uid="{DEF90FD3-D4EA-465D-B03C-C731DBF532E4}">
      <formula1>$BF$15:$BU$15</formula1>
    </dataValidation>
    <dataValidation allowBlank="1" showInputMessage="1" errorTitle="Invalid Load Case" error="You MUST use a Load Case from the list provided." sqref="M14:M55" xr:uid="{F3A408E7-0028-46D4-816F-98A2FCECC130}"/>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70F6E-13B8-4E9A-9A05-0F8F1D49E259}">
  <sheetPr codeName="Sheet4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208</v>
      </c>
      <c r="G14" s="1506">
        <v>0</v>
      </c>
      <c r="H14" s="1507">
        <v>0</v>
      </c>
      <c r="I14" s="1505">
        <v>0</v>
      </c>
      <c r="J14" s="1506">
        <v>12</v>
      </c>
      <c r="K14" s="1507">
        <v>6</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1855</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SJ49</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SJ49</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238</v>
      </c>
      <c r="G17" s="1514"/>
      <c r="H17" s="1515"/>
      <c r="I17" s="1513"/>
      <c r="J17" s="1514"/>
      <c r="K17" s="1515"/>
      <c r="L17" s="1516" t="s">
        <v>116</v>
      </c>
      <c r="M17" s="1517" t="s">
        <v>1397</v>
      </c>
      <c r="N17" s="1689"/>
      <c r="O17" s="1644"/>
      <c r="P17" s="245" t="b">
        <f>IF(ISERROR(VLOOKUP(AO17,BE:BE,1,FALSE)),FALSE,IF(AO17&lt;&gt;"",VLOOKUP(AO17,BE:BE,1,FALSE)=AO17))</f>
        <v>0</v>
      </c>
      <c r="R17" s="245" t="b">
        <f t="shared" si="1"/>
        <v>0</v>
      </c>
      <c r="AO17" s="238" t="str">
        <f t="shared" si="2"/>
        <v>SJ49</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163</v>
      </c>
      <c r="D18" s="1511" t="s">
        <v>145</v>
      </c>
      <c r="E18" s="1512"/>
      <c r="F18" s="1513">
        <v>312</v>
      </c>
      <c r="G18" s="1514">
        <v>0</v>
      </c>
      <c r="H18" s="1515">
        <v>0</v>
      </c>
      <c r="I18" s="1513">
        <v>0</v>
      </c>
      <c r="J18" s="1514">
        <v>18</v>
      </c>
      <c r="K18" s="1515">
        <v>8.625</v>
      </c>
      <c r="L18" s="1516" t="s">
        <v>702</v>
      </c>
      <c r="M18" s="1517" t="s">
        <v>1397</v>
      </c>
      <c r="N18" s="1689"/>
      <c r="O18" s="1644"/>
      <c r="P18" s="245" t="b">
        <f t="shared" ref="P18:P55" si="3">IF(ISERROR(VLOOKUP(AO18,BE:BE,1,FALSE)),FALSE,IF(AO18&lt;&gt;"",VLOOKUP(AO18,BE:BE,1,FALSE)=AO18))</f>
        <v>0</v>
      </c>
      <c r="R18" s="245" t="b">
        <f t="shared" si="1"/>
        <v>0</v>
      </c>
      <c r="AO18" s="238" t="str">
        <f t="shared" si="2"/>
        <v>SJ49</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1856</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SJ50</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167</v>
      </c>
      <c r="D20" s="1511" t="s">
        <v>145</v>
      </c>
      <c r="E20" s="1512"/>
      <c r="F20" s="1513">
        <v>22.680000000000003</v>
      </c>
      <c r="G20" s="1514"/>
      <c r="H20" s="1515"/>
      <c r="I20" s="1513"/>
      <c r="J20" s="1514"/>
      <c r="K20" s="1515"/>
      <c r="L20" s="1516"/>
      <c r="M20" s="1517" t="s">
        <v>1397</v>
      </c>
      <c r="N20" s="1518"/>
      <c r="O20" s="1645"/>
      <c r="P20" s="245" t="b">
        <f t="shared" si="3"/>
        <v>0</v>
      </c>
      <c r="R20" s="245" t="b">
        <f t="shared" si="1"/>
        <v>0</v>
      </c>
      <c r="AO20" s="238" t="str">
        <f t="shared" si="2"/>
        <v>SJ50</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134</v>
      </c>
      <c r="G21" s="1514"/>
      <c r="H21" s="1515"/>
      <c r="I21" s="1513"/>
      <c r="J21" s="1514"/>
      <c r="K21" s="1515"/>
      <c r="L21" s="1516" t="s">
        <v>116</v>
      </c>
      <c r="M21" s="1517" t="s">
        <v>1397</v>
      </c>
      <c r="N21" s="1518"/>
      <c r="O21" s="1645"/>
      <c r="P21" s="245" t="b">
        <f t="shared" si="3"/>
        <v>0</v>
      </c>
      <c r="R21" s="245" t="b">
        <f t="shared" si="1"/>
        <v>0</v>
      </c>
      <c r="AO21" s="238" t="str">
        <f t="shared" si="2"/>
        <v>SJ50</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416</v>
      </c>
      <c r="G22" s="1514">
        <v>0</v>
      </c>
      <c r="H22" s="1515">
        <v>0</v>
      </c>
      <c r="I22" s="1513">
        <v>0</v>
      </c>
      <c r="J22" s="1514">
        <v>24</v>
      </c>
      <c r="K22" s="1515">
        <v>11.5</v>
      </c>
      <c r="L22" s="1516" t="s">
        <v>702</v>
      </c>
      <c r="M22" s="1517" t="s">
        <v>1397</v>
      </c>
      <c r="N22" s="1518"/>
      <c r="O22" s="1645"/>
      <c r="P22" s="245" t="b">
        <f t="shared" si="3"/>
        <v>0</v>
      </c>
      <c r="R22" s="245" t="b">
        <f t="shared" si="1"/>
        <v>0</v>
      </c>
      <c r="AO22" s="238" t="str">
        <f t="shared" si="2"/>
        <v>SJ50</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1857</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SJ51</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167</v>
      </c>
      <c r="D24" s="1511" t="s">
        <v>145</v>
      </c>
      <c r="E24" s="1512"/>
      <c r="F24" s="1513">
        <v>22.680000000000003</v>
      </c>
      <c r="G24" s="1514"/>
      <c r="H24" s="1515"/>
      <c r="I24" s="1513"/>
      <c r="J24" s="1514"/>
      <c r="K24" s="1515"/>
      <c r="L24" s="1516"/>
      <c r="M24" s="1517" t="s">
        <v>1397</v>
      </c>
      <c r="N24" s="1518"/>
      <c r="O24" s="1645"/>
      <c r="P24" s="245" t="b">
        <f t="shared" si="3"/>
        <v>0</v>
      </c>
      <c r="R24" s="245" t="b">
        <f t="shared" si="1"/>
        <v>0</v>
      </c>
      <c r="AO24" s="238" t="str">
        <f t="shared" si="2"/>
        <v>SJ51</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35</v>
      </c>
      <c r="G25" s="1514"/>
      <c r="H25" s="1515"/>
      <c r="I25" s="1513"/>
      <c r="J25" s="1514"/>
      <c r="K25" s="1515"/>
      <c r="L25" s="1516" t="s">
        <v>116</v>
      </c>
      <c r="M25" s="1517" t="s">
        <v>1397</v>
      </c>
      <c r="N25" s="1518"/>
      <c r="O25" s="1645"/>
      <c r="P25" s="245" t="b">
        <f t="shared" si="3"/>
        <v>0</v>
      </c>
      <c r="R25" s="245" t="b">
        <f t="shared" si="1"/>
        <v>0</v>
      </c>
      <c r="AO25" s="238" t="str">
        <f t="shared" si="2"/>
        <v>SJ51</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514</v>
      </c>
      <c r="G26" s="1514">
        <v>0</v>
      </c>
      <c r="H26" s="1515">
        <v>0</v>
      </c>
      <c r="I26" s="1513">
        <v>0</v>
      </c>
      <c r="J26" s="1514">
        <v>30</v>
      </c>
      <c r="K26" s="1515">
        <v>9.75</v>
      </c>
      <c r="L26" s="1516" t="s">
        <v>702</v>
      </c>
      <c r="M26" s="1517" t="s">
        <v>1397</v>
      </c>
      <c r="N26" s="1518"/>
      <c r="O26" s="1645"/>
      <c r="P26" s="245" t="b">
        <f t="shared" si="3"/>
        <v>0</v>
      </c>
      <c r="R26" s="245" t="b">
        <f t="shared" si="1"/>
        <v>0</v>
      </c>
      <c r="AO26" s="238" t="str">
        <f t="shared" si="2"/>
        <v>SJ51</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154</v>
      </c>
      <c r="C27" s="1511" t="s">
        <v>165</v>
      </c>
      <c r="D27" s="1511" t="s">
        <v>145</v>
      </c>
      <c r="E27" s="1512"/>
      <c r="F27" s="1513">
        <v>540</v>
      </c>
      <c r="G27" s="1514"/>
      <c r="H27" s="1515"/>
      <c r="I27" s="1513"/>
      <c r="J27" s="1514"/>
      <c r="K27" s="1515"/>
      <c r="L27" s="1516" t="s">
        <v>116</v>
      </c>
      <c r="M27" s="1517" t="s">
        <v>1397</v>
      </c>
      <c r="N27" s="1518"/>
      <c r="O27" s="1645"/>
      <c r="P27" s="245" t="b">
        <f t="shared" si="3"/>
        <v>0</v>
      </c>
      <c r="R27" s="245" t="b">
        <f t="shared" si="1"/>
        <v>1</v>
      </c>
      <c r="AO27" s="238" t="str">
        <f t="shared" si="2"/>
        <v>SJ51</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1858</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SJ52</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SJ52</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550</v>
      </c>
      <c r="G30" s="1514">
        <v>0</v>
      </c>
      <c r="H30" s="1515">
        <v>0</v>
      </c>
      <c r="I30" s="1513">
        <v>0</v>
      </c>
      <c r="J30" s="1514">
        <v>33</v>
      </c>
      <c r="K30" s="1515">
        <v>0</v>
      </c>
      <c r="L30" s="1516" t="s">
        <v>702</v>
      </c>
      <c r="M30" s="1517" t="s">
        <v>1397</v>
      </c>
      <c r="N30" s="1689" t="s">
        <v>116</v>
      </c>
      <c r="O30" s="1644"/>
      <c r="P30" s="245" t="b">
        <f t="shared" si="3"/>
        <v>0</v>
      </c>
      <c r="R30" s="245" t="b">
        <f t="shared" si="1"/>
        <v>0</v>
      </c>
      <c r="AO30" s="238" t="str">
        <f t="shared" si="2"/>
        <v>SJ52</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154</v>
      </c>
      <c r="C31" s="1511" t="s">
        <v>165</v>
      </c>
      <c r="D31" s="1511" t="s">
        <v>145</v>
      </c>
      <c r="E31" s="1512"/>
      <c r="F31" s="1513">
        <v>540</v>
      </c>
      <c r="G31" s="1514"/>
      <c r="H31" s="1515"/>
      <c r="I31" s="1513"/>
      <c r="J31" s="1514"/>
      <c r="K31" s="1515"/>
      <c r="L31" s="1516" t="s">
        <v>116</v>
      </c>
      <c r="M31" s="1516" t="s">
        <v>1397</v>
      </c>
      <c r="N31" s="1689" t="s">
        <v>116</v>
      </c>
      <c r="O31" s="1644"/>
      <c r="P31" s="245" t="b">
        <f t="shared" si="3"/>
        <v>0</v>
      </c>
      <c r="R31" s="245" t="b">
        <f t="shared" si="1"/>
        <v>1</v>
      </c>
      <c r="AO31" s="238" t="str">
        <f t="shared" si="2"/>
        <v>SJ52</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1859</v>
      </c>
      <c r="B32" s="1511" t="s">
        <v>151</v>
      </c>
      <c r="C32" s="1511" t="s">
        <v>165</v>
      </c>
      <c r="D32" s="1511" t="s">
        <v>145</v>
      </c>
      <c r="E32" s="1512"/>
      <c r="F32" s="1513">
        <v>125</v>
      </c>
      <c r="G32" s="1514"/>
      <c r="H32" s="1515"/>
      <c r="I32" s="1513"/>
      <c r="J32" s="1514"/>
      <c r="K32" s="1515"/>
      <c r="L32" s="1516"/>
      <c r="M32" s="1516" t="s">
        <v>1397</v>
      </c>
      <c r="N32" s="1689" t="s">
        <v>116</v>
      </c>
      <c r="O32" s="1644"/>
      <c r="P32" s="245" t="b">
        <f t="shared" si="3"/>
        <v>0</v>
      </c>
      <c r="R32" s="245" t="b">
        <f t="shared" si="1"/>
        <v>0</v>
      </c>
      <c r="AO32" s="238" t="str">
        <f t="shared" si="2"/>
        <v>SJ53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167</v>
      </c>
      <c r="D33" s="1511" t="s">
        <v>145</v>
      </c>
      <c r="E33" s="1512"/>
      <c r="F33" s="1513">
        <v>22.680000000000003</v>
      </c>
      <c r="G33" s="1514"/>
      <c r="H33" s="1515"/>
      <c r="I33" s="1513"/>
      <c r="J33" s="1514"/>
      <c r="K33" s="1515"/>
      <c r="L33" s="1516"/>
      <c r="M33" s="1516" t="s">
        <v>1397</v>
      </c>
      <c r="N33" s="1689" t="s">
        <v>116</v>
      </c>
      <c r="O33" s="1644"/>
      <c r="P33" s="245" t="b">
        <f t="shared" si="3"/>
        <v>0</v>
      </c>
      <c r="R33" s="245" t="b">
        <f t="shared" si="1"/>
        <v>0</v>
      </c>
      <c r="AO33" s="238" t="str">
        <f t="shared" si="2"/>
        <v>SJ53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249</v>
      </c>
      <c r="G34" s="1514">
        <v>0</v>
      </c>
      <c r="H34" s="1515">
        <v>0</v>
      </c>
      <c r="I34" s="1513">
        <v>0</v>
      </c>
      <c r="J34" s="1514">
        <v>16</v>
      </c>
      <c r="K34" s="1515">
        <v>4</v>
      </c>
      <c r="L34" s="1516" t="s">
        <v>702</v>
      </c>
      <c r="M34" s="1516" t="s">
        <v>1397</v>
      </c>
      <c r="N34" s="1689" t="s">
        <v>116</v>
      </c>
      <c r="O34" s="1644"/>
      <c r="P34" s="245" t="b">
        <f t="shared" si="3"/>
        <v>0</v>
      </c>
      <c r="R34" s="245" t="b">
        <f t="shared" si="1"/>
        <v>0</v>
      </c>
      <c r="AO34" s="238" t="str">
        <f t="shared" si="2"/>
        <v>SJ53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1860</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STJ54</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STJ54</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249</v>
      </c>
      <c r="G37" s="1514">
        <v>0</v>
      </c>
      <c r="H37" s="1515">
        <v>0</v>
      </c>
      <c r="I37" s="1513">
        <v>0</v>
      </c>
      <c r="J37" s="1514">
        <v>16</v>
      </c>
      <c r="K37" s="1515">
        <v>4</v>
      </c>
      <c r="L37" s="1516" t="s">
        <v>702</v>
      </c>
      <c r="M37" s="1516" t="s">
        <v>1397</v>
      </c>
      <c r="N37" s="1689" t="s">
        <v>116</v>
      </c>
      <c r="O37" s="1644"/>
      <c r="P37" s="245" t="b">
        <f t="shared" si="3"/>
        <v>0</v>
      </c>
      <c r="R37" s="245" t="b">
        <f t="shared" si="1"/>
        <v>0</v>
      </c>
      <c r="AO37" s="238" t="str">
        <f t="shared" si="2"/>
        <v>STJ54</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1861</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SJ55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167</v>
      </c>
      <c r="D39" s="1511" t="s">
        <v>145</v>
      </c>
      <c r="E39" s="1512"/>
      <c r="F39" s="1513">
        <v>22.680000000000003</v>
      </c>
      <c r="G39" s="1514"/>
      <c r="H39" s="1515"/>
      <c r="I39" s="1513"/>
      <c r="J39" s="1514"/>
      <c r="K39" s="1515"/>
      <c r="L39" s="1516"/>
      <c r="M39" s="1516" t="s">
        <v>1397</v>
      </c>
      <c r="N39" s="1689" t="s">
        <v>116</v>
      </c>
      <c r="O39" s="1644"/>
      <c r="P39" s="245" t="b">
        <f t="shared" si="3"/>
        <v>0</v>
      </c>
      <c r="R39" s="245" t="b">
        <f t="shared" si="1"/>
        <v>0</v>
      </c>
      <c r="AO39" s="238" t="str">
        <f t="shared" si="2"/>
        <v>SJ55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151</v>
      </c>
      <c r="C40" s="1511" t="s">
        <v>163</v>
      </c>
      <c r="D40" s="1511" t="s">
        <v>145</v>
      </c>
      <c r="E40" s="1512"/>
      <c r="F40" s="1513">
        <v>249</v>
      </c>
      <c r="G40" s="1514">
        <v>0</v>
      </c>
      <c r="H40" s="1515">
        <v>0</v>
      </c>
      <c r="I40" s="1513">
        <v>0</v>
      </c>
      <c r="J40" s="1514">
        <v>16</v>
      </c>
      <c r="K40" s="1515">
        <v>4</v>
      </c>
      <c r="L40" s="1516" t="s">
        <v>702</v>
      </c>
      <c r="M40" s="1516" t="s">
        <v>1397</v>
      </c>
      <c r="N40" s="1689" t="s">
        <v>116</v>
      </c>
      <c r="O40" s="1644"/>
      <c r="P40" s="245" t="b">
        <f t="shared" si="3"/>
        <v>0</v>
      </c>
      <c r="R40" s="245" t="b">
        <f t="shared" si="1"/>
        <v>0</v>
      </c>
      <c r="AO40" s="238" t="str">
        <f t="shared" si="2"/>
        <v>SJ55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154</v>
      </c>
      <c r="C41" s="1511" t="s">
        <v>165</v>
      </c>
      <c r="D41" s="1511" t="s">
        <v>145</v>
      </c>
      <c r="E41" s="1512"/>
      <c r="F41" s="1513">
        <v>1100</v>
      </c>
      <c r="G41" s="1514"/>
      <c r="H41" s="1515"/>
      <c r="I41" s="1513"/>
      <c r="J41" s="1514"/>
      <c r="K41" s="1515"/>
      <c r="L41" s="1516" t="s">
        <v>116</v>
      </c>
      <c r="M41" s="1516" t="s">
        <v>1397</v>
      </c>
      <c r="N41" s="1689" t="s">
        <v>116</v>
      </c>
      <c r="O41" s="1644"/>
      <c r="P41" s="245" t="b">
        <f t="shared" si="3"/>
        <v>0</v>
      </c>
      <c r="R41" s="245" t="b">
        <f t="shared" si="1"/>
        <v>1</v>
      </c>
      <c r="AO41" s="238" t="str">
        <f t="shared" si="2"/>
        <v>SJ55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1862</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SJ56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167</v>
      </c>
      <c r="D43" s="1511" t="s">
        <v>145</v>
      </c>
      <c r="E43" s="1512"/>
      <c r="F43" s="1513">
        <v>22.680000000000003</v>
      </c>
      <c r="G43" s="1514"/>
      <c r="H43" s="1515"/>
      <c r="I43" s="1513"/>
      <c r="J43" s="1514"/>
      <c r="K43" s="1515"/>
      <c r="L43" s="1516"/>
      <c r="M43" s="1516" t="s">
        <v>1397</v>
      </c>
      <c r="N43" s="1689" t="s">
        <v>116</v>
      </c>
      <c r="O43" s="1644"/>
      <c r="P43" s="245" t="b">
        <f t="shared" si="3"/>
        <v>0</v>
      </c>
      <c r="R43" s="245" t="b">
        <f t="shared" si="1"/>
        <v>0</v>
      </c>
      <c r="AO43" s="238" t="str">
        <f t="shared" si="2"/>
        <v>SJ56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163</v>
      </c>
      <c r="D44" s="1511" t="s">
        <v>145</v>
      </c>
      <c r="E44" s="1512"/>
      <c r="F44" s="1513">
        <v>249</v>
      </c>
      <c r="G44" s="1514">
        <v>0</v>
      </c>
      <c r="H44" s="1515">
        <v>0</v>
      </c>
      <c r="I44" s="1513">
        <v>0</v>
      </c>
      <c r="J44" s="1514">
        <v>16</v>
      </c>
      <c r="K44" s="1515">
        <v>4</v>
      </c>
      <c r="L44" s="1516" t="s">
        <v>702</v>
      </c>
      <c r="M44" s="1516" t="s">
        <v>1397</v>
      </c>
      <c r="N44" s="1689" t="s">
        <v>116</v>
      </c>
      <c r="O44" s="1644"/>
      <c r="P44" s="245" t="b">
        <f t="shared" si="3"/>
        <v>0</v>
      </c>
      <c r="R44" s="245" t="b">
        <f t="shared" si="1"/>
        <v>0</v>
      </c>
      <c r="AO44" s="238" t="str">
        <f t="shared" si="2"/>
        <v>SJ56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154</v>
      </c>
      <c r="C45" s="1511" t="s">
        <v>165</v>
      </c>
      <c r="D45" s="1511" t="s">
        <v>145</v>
      </c>
      <c r="E45" s="1512"/>
      <c r="F45" s="1513">
        <v>540</v>
      </c>
      <c r="G45" s="1514"/>
      <c r="H45" s="1515"/>
      <c r="I45" s="1513"/>
      <c r="J45" s="1514"/>
      <c r="K45" s="1515"/>
      <c r="L45" s="1516" t="s">
        <v>116</v>
      </c>
      <c r="M45" s="1516" t="s">
        <v>1397</v>
      </c>
      <c r="N45" s="1689" t="s">
        <v>116</v>
      </c>
      <c r="O45" s="1644"/>
      <c r="P45" s="245" t="b">
        <f t="shared" si="3"/>
        <v>0</v>
      </c>
      <c r="R45" s="245" t="b">
        <f t="shared" si="1"/>
        <v>1</v>
      </c>
      <c r="AO45" s="238" t="str">
        <f t="shared" si="2"/>
        <v>SJ56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t="s">
        <v>1863</v>
      </c>
      <c r="B46" s="1511" t="s">
        <v>151</v>
      </c>
      <c r="C46" s="1511" t="s">
        <v>165</v>
      </c>
      <c r="D46" s="1511" t="s">
        <v>145</v>
      </c>
      <c r="E46" s="1512"/>
      <c r="F46" s="1513">
        <v>125</v>
      </c>
      <c r="G46" s="1514"/>
      <c r="H46" s="1515"/>
      <c r="I46" s="1513"/>
      <c r="J46" s="1514"/>
      <c r="K46" s="1515"/>
      <c r="L46" s="1516"/>
      <c r="M46" s="1516" t="s">
        <v>1397</v>
      </c>
      <c r="N46" s="1689" t="s">
        <v>116</v>
      </c>
      <c r="O46" s="1644"/>
      <c r="P46" s="245" t="b">
        <f t="shared" si="3"/>
        <v>0</v>
      </c>
      <c r="R46" s="245" t="b">
        <f t="shared" si="1"/>
        <v>0</v>
      </c>
      <c r="AO46" s="238" t="str">
        <f t="shared" si="2"/>
        <v>SJ57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167</v>
      </c>
      <c r="D47" s="1511" t="s">
        <v>145</v>
      </c>
      <c r="E47" s="1512"/>
      <c r="F47" s="1513">
        <v>22.680000000000003</v>
      </c>
      <c r="G47" s="1514"/>
      <c r="H47" s="1515"/>
      <c r="I47" s="1513"/>
      <c r="J47" s="1514"/>
      <c r="K47" s="1515"/>
      <c r="L47" s="1516"/>
      <c r="M47" s="1516" t="s">
        <v>1397</v>
      </c>
      <c r="N47" s="1689" t="s">
        <v>116</v>
      </c>
      <c r="O47" s="1644"/>
      <c r="P47" s="245" t="b">
        <f t="shared" si="3"/>
        <v>0</v>
      </c>
      <c r="R47" s="245" t="b">
        <f t="shared" si="1"/>
        <v>0</v>
      </c>
      <c r="AO47" s="238" t="str">
        <f t="shared" si="2"/>
        <v>SJ57</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163</v>
      </c>
      <c r="D48" s="1511" t="s">
        <v>145</v>
      </c>
      <c r="E48" s="1512"/>
      <c r="F48" s="1513">
        <v>249</v>
      </c>
      <c r="G48" s="1514">
        <v>0</v>
      </c>
      <c r="H48" s="1515">
        <v>0</v>
      </c>
      <c r="I48" s="1513">
        <v>0</v>
      </c>
      <c r="J48" s="1514">
        <v>16</v>
      </c>
      <c r="K48" s="1515">
        <v>4</v>
      </c>
      <c r="L48" s="1516" t="s">
        <v>702</v>
      </c>
      <c r="M48" s="1516" t="s">
        <v>1397</v>
      </c>
      <c r="N48" s="1689" t="s">
        <v>116</v>
      </c>
      <c r="O48" s="1644"/>
      <c r="P48" s="245" t="b">
        <f t="shared" si="3"/>
        <v>0</v>
      </c>
      <c r="R48" s="245" t="b">
        <f t="shared" si="1"/>
        <v>0</v>
      </c>
      <c r="AO48" s="238" t="str">
        <f t="shared" si="2"/>
        <v>SJ57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165</v>
      </c>
      <c r="D49" s="1511" t="s">
        <v>145</v>
      </c>
      <c r="E49" s="1512"/>
      <c r="F49" s="1513">
        <v>24</v>
      </c>
      <c r="G49" s="1514"/>
      <c r="H49" s="1515"/>
      <c r="I49" s="1513"/>
      <c r="J49" s="1514"/>
      <c r="K49" s="1515"/>
      <c r="L49" s="1516" t="s">
        <v>116</v>
      </c>
      <c r="M49" s="1516" t="s">
        <v>1397</v>
      </c>
      <c r="N49" s="1689" t="s">
        <v>116</v>
      </c>
      <c r="O49" s="1644"/>
      <c r="P49" s="245" t="b">
        <f t="shared" si="3"/>
        <v>0</v>
      </c>
      <c r="R49" s="245" t="b">
        <f t="shared" si="1"/>
        <v>0</v>
      </c>
      <c r="AO49" s="238" t="str">
        <f t="shared" si="2"/>
        <v>SJ57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1864</v>
      </c>
      <c r="B50" s="1511" t="s">
        <v>151</v>
      </c>
      <c r="C50" s="1511" t="s">
        <v>165</v>
      </c>
      <c r="D50" s="1511" t="s">
        <v>145</v>
      </c>
      <c r="E50" s="1512"/>
      <c r="F50" s="1513">
        <v>125</v>
      </c>
      <c r="G50" s="1514"/>
      <c r="H50" s="1515"/>
      <c r="I50" s="1513"/>
      <c r="J50" s="1514"/>
      <c r="K50" s="1515"/>
      <c r="L50" s="1516"/>
      <c r="M50" s="1516" t="s">
        <v>1397</v>
      </c>
      <c r="N50" s="1689" t="s">
        <v>116</v>
      </c>
      <c r="O50" s="1644"/>
      <c r="P50" s="245" t="b">
        <f t="shared" si="3"/>
        <v>0</v>
      </c>
      <c r="R50" s="245" t="b">
        <f t="shared" si="1"/>
        <v>0</v>
      </c>
      <c r="AO50" s="238" t="str">
        <f t="shared" si="2"/>
        <v>SJ58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167</v>
      </c>
      <c r="D51" s="1511" t="s">
        <v>145</v>
      </c>
      <c r="E51" s="1512"/>
      <c r="F51" s="1513">
        <v>22.680000000000003</v>
      </c>
      <c r="G51" s="1514"/>
      <c r="H51" s="1515"/>
      <c r="I51" s="1513"/>
      <c r="J51" s="1514"/>
      <c r="K51" s="1515"/>
      <c r="L51" s="1516"/>
      <c r="M51" s="1516" t="s">
        <v>1397</v>
      </c>
      <c r="N51" s="1689" t="s">
        <v>116</v>
      </c>
      <c r="O51" s="1644"/>
      <c r="P51" s="245" t="b">
        <f t="shared" si="3"/>
        <v>0</v>
      </c>
      <c r="R51" s="245" t="b">
        <f t="shared" si="1"/>
        <v>0</v>
      </c>
      <c r="AO51" s="238" t="str">
        <f t="shared" si="2"/>
        <v>SJ58</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249</v>
      </c>
      <c r="G52" s="1514">
        <v>0</v>
      </c>
      <c r="H52" s="1515">
        <v>0</v>
      </c>
      <c r="I52" s="1513">
        <v>0</v>
      </c>
      <c r="J52" s="1514">
        <v>16</v>
      </c>
      <c r="K52" s="1515">
        <v>4</v>
      </c>
      <c r="L52" s="1516" t="s">
        <v>702</v>
      </c>
      <c r="M52" s="1516" t="s">
        <v>1397</v>
      </c>
      <c r="N52" s="1689" t="s">
        <v>116</v>
      </c>
      <c r="O52" s="1644"/>
      <c r="P52" s="245" t="b">
        <f t="shared" si="3"/>
        <v>0</v>
      </c>
      <c r="R52" s="245" t="b">
        <f t="shared" si="1"/>
        <v>0</v>
      </c>
      <c r="AO52" s="238" t="str">
        <f t="shared" si="2"/>
        <v>SJ58</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165</v>
      </c>
      <c r="D53" s="1511" t="s">
        <v>145</v>
      </c>
      <c r="E53" s="1512"/>
      <c r="F53" s="1513">
        <v>24</v>
      </c>
      <c r="G53" s="1514"/>
      <c r="H53" s="1515"/>
      <c r="I53" s="1513"/>
      <c r="J53" s="1514"/>
      <c r="K53" s="1515"/>
      <c r="L53" s="1516" t="s">
        <v>116</v>
      </c>
      <c r="M53" s="1516" t="s">
        <v>1397</v>
      </c>
      <c r="N53" s="1689" t="s">
        <v>116</v>
      </c>
      <c r="O53" s="1644"/>
      <c r="P53" s="245" t="b">
        <f t="shared" si="3"/>
        <v>0</v>
      </c>
      <c r="R53" s="245" t="b">
        <f t="shared" si="1"/>
        <v>0</v>
      </c>
      <c r="AO53" s="238" t="str">
        <f t="shared" si="2"/>
        <v>SJ58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1865</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STJ59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STJ59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9" priority="4" stopIfTrue="1">
      <formula>AND($B14="NU",F14&lt;0)</formula>
    </cfRule>
  </conditionalFormatting>
  <conditionalFormatting sqref="B14:B55">
    <cfRule type="expression" dxfId="138" priority="5" stopIfTrue="1">
      <formula>OR(AND($B14="NU",F14&lt;0),AND($B14="NU",I14&lt;0))</formula>
    </cfRule>
  </conditionalFormatting>
  <conditionalFormatting sqref="G14:H55 J14:L55">
    <cfRule type="expression" dxfId="137" priority="6" stopIfTrue="1">
      <formula>$R14</formula>
    </cfRule>
  </conditionalFormatting>
  <conditionalFormatting sqref="I2:K4">
    <cfRule type="cellIs" dxfId="136" priority="7" stopIfTrue="1" operator="equal">
      <formula>""</formula>
    </cfRule>
  </conditionalFormatting>
  <conditionalFormatting sqref="I14:I55">
    <cfRule type="expression" dxfId="135" priority="8" stopIfTrue="1">
      <formula>OR($R14,$B14="CZ",AND($B14="NU",I14&lt;0))</formula>
    </cfRule>
  </conditionalFormatting>
  <conditionalFormatting sqref="A14:A55">
    <cfRule type="expression" dxfId="134" priority="3">
      <formula>NOT($P14)</formula>
    </cfRule>
  </conditionalFormatting>
  <conditionalFormatting sqref="B14:D55">
    <cfRule type="expression" dxfId="1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32" priority="9">
      <formula>AND(NOT($P14),$T$1)</formula>
    </cfRule>
    <cfRule type="expression" dxfId="131" priority="10">
      <formula>AND($AP14,$S$1="M")</formula>
    </cfRule>
  </conditionalFormatting>
  <conditionalFormatting sqref="L14:L55">
    <cfRule type="expression" dxfId="1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AC6813B-4BDB-4B60-80EA-BAA17D07C15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0857F09-6A8F-4A1F-82BB-D22726E5D86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CEF49FE-40BB-4EB6-B96E-E9A772E092B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3C360D4D-001C-4322-8224-A2F051DF1C92}">
      <formula1>IF($CA$14,$CA$16:$CA$21,$CB$16:$CB$19)</formula1>
    </dataValidation>
    <dataValidation type="list" allowBlank="1" showErrorMessage="1" errorTitle="Invalid Type" error="You MUST select a Type from the dropdown list provided._x000a__x000a_Also, make sure your Cap Lock is turned on." sqref="B14:B55" xr:uid="{92C7D568-572B-4652-9EA4-86DB64384FBF}">
      <formula1>$BF$15:$BU$15</formula1>
    </dataValidation>
    <dataValidation allowBlank="1" showInputMessage="1" errorTitle="Invalid Load Case" error="You MUST use a Load Case from the list provided." sqref="M14:M55" xr:uid="{F5FAC897-8E7F-4957-8348-D6C3AABD3DDE}"/>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A63CE-EEC8-4801-988F-FD9832771B42}">
  <sheetPr codeName="Sheet4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424</v>
      </c>
      <c r="G14" s="1506">
        <v>0</v>
      </c>
      <c r="H14" s="1507">
        <v>0</v>
      </c>
      <c r="I14" s="1505">
        <v>0</v>
      </c>
      <c r="J14" s="1506">
        <v>20</v>
      </c>
      <c r="K14" s="1507">
        <v>9</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1866</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SJ60</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167</v>
      </c>
      <c r="D16" s="1511" t="s">
        <v>145</v>
      </c>
      <c r="E16" s="1512"/>
      <c r="F16" s="1513">
        <v>22.680000000000003</v>
      </c>
      <c r="G16" s="1514"/>
      <c r="H16" s="1515"/>
      <c r="I16" s="1513"/>
      <c r="J16" s="1514"/>
      <c r="K16" s="1515"/>
      <c r="L16" s="1516"/>
      <c r="M16" s="1517" t="s">
        <v>1397</v>
      </c>
      <c r="N16" s="1689"/>
      <c r="O16" s="1644"/>
      <c r="P16" s="245" t="b">
        <f t="shared" si="0"/>
        <v>0</v>
      </c>
      <c r="R16" s="245" t="b">
        <f t="shared" si="1"/>
        <v>0</v>
      </c>
      <c r="AO16" s="238" t="str">
        <f t="shared" si="2"/>
        <v>SJ60</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424</v>
      </c>
      <c r="G17" s="1514">
        <v>0</v>
      </c>
      <c r="H17" s="1515">
        <v>0</v>
      </c>
      <c r="I17" s="1513">
        <v>0</v>
      </c>
      <c r="J17" s="1514">
        <v>20</v>
      </c>
      <c r="K17" s="1515">
        <v>9</v>
      </c>
      <c r="L17" s="1516" t="s">
        <v>702</v>
      </c>
      <c r="M17" s="1517" t="s">
        <v>1397</v>
      </c>
      <c r="N17" s="1689"/>
      <c r="O17" s="1644"/>
      <c r="P17" s="245" t="b">
        <f>IF(ISERROR(VLOOKUP(AO17,BE:BE,1,FALSE)),FALSE,IF(AO17&lt;&gt;"",VLOOKUP(AO17,BE:BE,1,FALSE)=AO17))</f>
        <v>0</v>
      </c>
      <c r="R17" s="245" t="b">
        <f t="shared" si="1"/>
        <v>0</v>
      </c>
      <c r="AO17" s="238" t="str">
        <f t="shared" si="2"/>
        <v>SJ60</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1867</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SJ61</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167</v>
      </c>
      <c r="D19" s="1511" t="s">
        <v>145</v>
      </c>
      <c r="E19" s="1512"/>
      <c r="F19" s="1513">
        <v>22.680000000000003</v>
      </c>
      <c r="G19" s="1514"/>
      <c r="H19" s="1515"/>
      <c r="I19" s="1513"/>
      <c r="J19" s="1514"/>
      <c r="K19" s="1515"/>
      <c r="L19" s="1516"/>
      <c r="M19" s="1517" t="s">
        <v>1397</v>
      </c>
      <c r="N19" s="1689" t="s">
        <v>116</v>
      </c>
      <c r="O19" s="1644"/>
      <c r="P19" s="245" t="b">
        <f t="shared" si="3"/>
        <v>0</v>
      </c>
      <c r="R19" s="245" t="b">
        <f t="shared" si="1"/>
        <v>0</v>
      </c>
      <c r="AO19" s="238" t="str">
        <f t="shared" si="2"/>
        <v>SJ61</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424</v>
      </c>
      <c r="G20" s="1514">
        <v>0</v>
      </c>
      <c r="H20" s="1515">
        <v>0</v>
      </c>
      <c r="I20" s="1513">
        <v>0</v>
      </c>
      <c r="J20" s="1514">
        <v>20</v>
      </c>
      <c r="K20" s="1515">
        <v>9</v>
      </c>
      <c r="L20" s="1516" t="s">
        <v>702</v>
      </c>
      <c r="M20" s="1517" t="s">
        <v>1397</v>
      </c>
      <c r="N20" s="1518"/>
      <c r="O20" s="1645"/>
      <c r="P20" s="245" t="b">
        <f t="shared" si="3"/>
        <v>0</v>
      </c>
      <c r="R20" s="245" t="b">
        <f t="shared" si="1"/>
        <v>0</v>
      </c>
      <c r="AO20" s="238" t="str">
        <f t="shared" si="2"/>
        <v>SJ61</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1100</v>
      </c>
      <c r="G21" s="1514"/>
      <c r="H21" s="1515"/>
      <c r="I21" s="1513"/>
      <c r="J21" s="1514"/>
      <c r="K21" s="1515"/>
      <c r="L21" s="1516" t="s">
        <v>116</v>
      </c>
      <c r="M21" s="1517" t="s">
        <v>1397</v>
      </c>
      <c r="N21" s="1518"/>
      <c r="O21" s="1645"/>
      <c r="P21" s="245" t="b">
        <f t="shared" si="3"/>
        <v>0</v>
      </c>
      <c r="R21" s="245" t="b">
        <f t="shared" si="1"/>
        <v>1</v>
      </c>
      <c r="AO21" s="238" t="str">
        <f t="shared" si="2"/>
        <v>SJ61</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1868</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SJ62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167</v>
      </c>
      <c r="D23" s="1511" t="s">
        <v>145</v>
      </c>
      <c r="E23" s="1512"/>
      <c r="F23" s="1513">
        <v>22.680000000000003</v>
      </c>
      <c r="G23" s="1514"/>
      <c r="H23" s="1515"/>
      <c r="I23" s="1513"/>
      <c r="J23" s="1514"/>
      <c r="K23" s="1515"/>
      <c r="L23" s="1516"/>
      <c r="M23" s="1517" t="s">
        <v>1397</v>
      </c>
      <c r="N23" s="1518"/>
      <c r="O23" s="1645"/>
      <c r="P23" s="245" t="b">
        <f t="shared" si="3"/>
        <v>0</v>
      </c>
      <c r="R23" s="245" t="b">
        <f t="shared" si="1"/>
        <v>0</v>
      </c>
      <c r="AO23" s="238" t="str">
        <f t="shared" si="2"/>
        <v>SJ62</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550</v>
      </c>
      <c r="G24" s="1514">
        <v>0</v>
      </c>
      <c r="H24" s="1515">
        <v>0</v>
      </c>
      <c r="I24" s="1513">
        <v>0</v>
      </c>
      <c r="J24" s="1514">
        <v>33</v>
      </c>
      <c r="K24" s="1515">
        <v>0</v>
      </c>
      <c r="L24" s="1516" t="s">
        <v>702</v>
      </c>
      <c r="M24" s="1517" t="s">
        <v>1397</v>
      </c>
      <c r="N24" s="1518"/>
      <c r="O24" s="1645"/>
      <c r="P24" s="245" t="b">
        <f t="shared" si="3"/>
        <v>0</v>
      </c>
      <c r="R24" s="245" t="b">
        <f t="shared" si="1"/>
        <v>0</v>
      </c>
      <c r="AO24" s="238" t="str">
        <f t="shared" si="2"/>
        <v>SJ62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146</v>
      </c>
      <c r="C25" s="1511" t="s">
        <v>165</v>
      </c>
      <c r="D25" s="1511" t="s">
        <v>145</v>
      </c>
      <c r="E25" s="1512"/>
      <c r="F25" s="1513">
        <v>600</v>
      </c>
      <c r="G25" s="1514">
        <v>3</v>
      </c>
      <c r="H25" s="1515">
        <v>0</v>
      </c>
      <c r="I25" s="1513"/>
      <c r="J25" s="1514"/>
      <c r="K25" s="1515"/>
      <c r="L25" s="1516" t="s">
        <v>702</v>
      </c>
      <c r="M25" s="1517" t="s">
        <v>1397</v>
      </c>
      <c r="N25" s="1518"/>
      <c r="O25" s="1645"/>
      <c r="P25" s="245" t="b">
        <f t="shared" si="3"/>
        <v>0</v>
      </c>
      <c r="R25" s="245" t="b">
        <f t="shared" si="1"/>
        <v>0</v>
      </c>
      <c r="AO25" s="238" t="str">
        <f t="shared" si="2"/>
        <v>SJ62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1869</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STJ63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167</v>
      </c>
      <c r="D27" s="1511" t="s">
        <v>145</v>
      </c>
      <c r="E27" s="1512"/>
      <c r="F27" s="1513">
        <v>22.680000000000003</v>
      </c>
      <c r="G27" s="1514"/>
      <c r="H27" s="1515"/>
      <c r="I27" s="1513"/>
      <c r="J27" s="1514"/>
      <c r="K27" s="1515"/>
      <c r="L27" s="1516"/>
      <c r="M27" s="1517" t="s">
        <v>1397</v>
      </c>
      <c r="N27" s="1518"/>
      <c r="O27" s="1645"/>
      <c r="P27" s="245" t="b">
        <f t="shared" si="3"/>
        <v>0</v>
      </c>
      <c r="R27" s="245" t="b">
        <f t="shared" si="1"/>
        <v>0</v>
      </c>
      <c r="AO27" s="238" t="str">
        <f t="shared" si="2"/>
        <v>STJ63</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550</v>
      </c>
      <c r="G28" s="1514">
        <v>0</v>
      </c>
      <c r="H28" s="1515">
        <v>0</v>
      </c>
      <c r="I28" s="1513">
        <v>0</v>
      </c>
      <c r="J28" s="1514">
        <v>33</v>
      </c>
      <c r="K28" s="1515">
        <v>0</v>
      </c>
      <c r="L28" s="1516" t="s">
        <v>702</v>
      </c>
      <c r="M28" s="1517" t="s">
        <v>1397</v>
      </c>
      <c r="N28" s="1689"/>
      <c r="O28" s="1644"/>
      <c r="P28" s="245" t="b">
        <f t="shared" si="3"/>
        <v>0</v>
      </c>
      <c r="R28" s="245" t="b">
        <f t="shared" si="1"/>
        <v>0</v>
      </c>
      <c r="AO28" s="238" t="str">
        <f t="shared" si="2"/>
        <v>STJ63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146</v>
      </c>
      <c r="C29" s="1511" t="s">
        <v>165</v>
      </c>
      <c r="D29" s="1511" t="s">
        <v>145</v>
      </c>
      <c r="E29" s="1512"/>
      <c r="F29" s="1513">
        <v>600</v>
      </c>
      <c r="G29" s="1514">
        <v>3</v>
      </c>
      <c r="H29" s="1515">
        <v>0</v>
      </c>
      <c r="I29" s="1513"/>
      <c r="J29" s="1514"/>
      <c r="K29" s="1515"/>
      <c r="L29" s="1516" t="s">
        <v>702</v>
      </c>
      <c r="M29" s="1517" t="s">
        <v>1397</v>
      </c>
      <c r="N29" s="1689"/>
      <c r="O29" s="1644"/>
      <c r="P29" s="245" t="b">
        <f t="shared" si="3"/>
        <v>0</v>
      </c>
      <c r="R29" s="245" t="b">
        <f t="shared" si="1"/>
        <v>0</v>
      </c>
      <c r="AO29" s="238" t="str">
        <f t="shared" si="2"/>
        <v>STJ63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t="s">
        <v>1870</v>
      </c>
      <c r="B30" s="1511" t="s">
        <v>151</v>
      </c>
      <c r="C30" s="1511" t="s">
        <v>165</v>
      </c>
      <c r="D30" s="1511" t="s">
        <v>145</v>
      </c>
      <c r="E30" s="1512"/>
      <c r="F30" s="1513">
        <v>125</v>
      </c>
      <c r="G30" s="1514"/>
      <c r="H30" s="1515"/>
      <c r="I30" s="1513"/>
      <c r="J30" s="1514"/>
      <c r="K30" s="1515"/>
      <c r="L30" s="1516"/>
      <c r="M30" s="1517" t="s">
        <v>1397</v>
      </c>
      <c r="N30" s="1689" t="s">
        <v>116</v>
      </c>
      <c r="O30" s="1644"/>
      <c r="P30" s="245" t="b">
        <f t="shared" si="3"/>
        <v>0</v>
      </c>
      <c r="R30" s="245" t="b">
        <f t="shared" si="1"/>
        <v>0</v>
      </c>
      <c r="AO30" s="238" t="str">
        <f t="shared" si="2"/>
        <v>SJ64</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167</v>
      </c>
      <c r="D31" s="1511" t="s">
        <v>145</v>
      </c>
      <c r="E31" s="1512"/>
      <c r="F31" s="1513">
        <v>22.680000000000003</v>
      </c>
      <c r="G31" s="1514"/>
      <c r="H31" s="1515"/>
      <c r="I31" s="1513"/>
      <c r="J31" s="1514"/>
      <c r="K31" s="1515"/>
      <c r="L31" s="1516"/>
      <c r="M31" s="1516" t="s">
        <v>1397</v>
      </c>
      <c r="N31" s="1689" t="s">
        <v>116</v>
      </c>
      <c r="O31" s="1644"/>
      <c r="P31" s="245" t="b">
        <f t="shared" si="3"/>
        <v>0</v>
      </c>
      <c r="R31" s="245" t="b">
        <f t="shared" si="1"/>
        <v>0</v>
      </c>
      <c r="AO31" s="238" t="str">
        <f t="shared" si="2"/>
        <v>SJ64</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163</v>
      </c>
      <c r="D32" s="1511" t="s">
        <v>145</v>
      </c>
      <c r="E32" s="1512"/>
      <c r="F32" s="1513">
        <v>550</v>
      </c>
      <c r="G32" s="1514">
        <v>0</v>
      </c>
      <c r="H32" s="1515">
        <v>0</v>
      </c>
      <c r="I32" s="1513">
        <v>0</v>
      </c>
      <c r="J32" s="1514">
        <v>33</v>
      </c>
      <c r="K32" s="1515">
        <v>0</v>
      </c>
      <c r="L32" s="1516" t="s">
        <v>702</v>
      </c>
      <c r="M32" s="1516" t="s">
        <v>1397</v>
      </c>
      <c r="N32" s="1689" t="s">
        <v>116</v>
      </c>
      <c r="O32" s="1644"/>
      <c r="P32" s="245" t="b">
        <f t="shared" si="3"/>
        <v>0</v>
      </c>
      <c r="R32" s="245" t="b">
        <f t="shared" si="1"/>
        <v>0</v>
      </c>
      <c r="AO32" s="238" t="str">
        <f t="shared" si="2"/>
        <v>SJ64</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154</v>
      </c>
      <c r="C33" s="1511" t="s">
        <v>165</v>
      </c>
      <c r="D33" s="1511" t="s">
        <v>145</v>
      </c>
      <c r="E33" s="1512"/>
      <c r="F33" s="1513">
        <v>540</v>
      </c>
      <c r="G33" s="1514"/>
      <c r="H33" s="1515"/>
      <c r="I33" s="1513"/>
      <c r="J33" s="1514"/>
      <c r="K33" s="1515"/>
      <c r="L33" s="1516" t="s">
        <v>116</v>
      </c>
      <c r="M33" s="1516" t="s">
        <v>1397</v>
      </c>
      <c r="N33" s="1689" t="s">
        <v>116</v>
      </c>
      <c r="O33" s="1644"/>
      <c r="P33" s="245" t="b">
        <f t="shared" si="3"/>
        <v>0</v>
      </c>
      <c r="R33" s="245" t="b">
        <f t="shared" si="1"/>
        <v>1</v>
      </c>
      <c r="AO33" s="238" t="str">
        <f t="shared" si="2"/>
        <v>SJ64</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146</v>
      </c>
      <c r="C34" s="1511" t="s">
        <v>165</v>
      </c>
      <c r="D34" s="1511" t="s">
        <v>145</v>
      </c>
      <c r="E34" s="1512"/>
      <c r="F34" s="1513">
        <v>600</v>
      </c>
      <c r="G34" s="1514">
        <v>3</v>
      </c>
      <c r="H34" s="1515">
        <v>0</v>
      </c>
      <c r="I34" s="1513"/>
      <c r="J34" s="1514"/>
      <c r="K34" s="1515"/>
      <c r="L34" s="1516" t="s">
        <v>702</v>
      </c>
      <c r="M34" s="1516" t="s">
        <v>1397</v>
      </c>
      <c r="N34" s="1689" t="s">
        <v>116</v>
      </c>
      <c r="O34" s="1644"/>
      <c r="P34" s="245" t="b">
        <f t="shared" si="3"/>
        <v>0</v>
      </c>
      <c r="R34" s="245" t="b">
        <f t="shared" si="1"/>
        <v>0</v>
      </c>
      <c r="AO34" s="238" t="str">
        <f t="shared" si="2"/>
        <v>SJ64</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1871</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SJ65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167</v>
      </c>
      <c r="D36" s="1511" t="s">
        <v>145</v>
      </c>
      <c r="E36" s="1512"/>
      <c r="F36" s="1513">
        <v>22.680000000000003</v>
      </c>
      <c r="G36" s="1514"/>
      <c r="H36" s="1515"/>
      <c r="I36" s="1513"/>
      <c r="J36" s="1514"/>
      <c r="K36" s="1515"/>
      <c r="L36" s="1516"/>
      <c r="M36" s="1516" t="s">
        <v>1397</v>
      </c>
      <c r="N36" s="1689" t="s">
        <v>116</v>
      </c>
      <c r="O36" s="1644"/>
      <c r="P36" s="245" t="b">
        <f t="shared" si="3"/>
        <v>0</v>
      </c>
      <c r="R36" s="245" t="b">
        <f t="shared" si="1"/>
        <v>0</v>
      </c>
      <c r="AO36" s="238" t="str">
        <f t="shared" si="2"/>
        <v>SJ65</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550</v>
      </c>
      <c r="G37" s="1514">
        <v>0</v>
      </c>
      <c r="H37" s="1515">
        <v>0</v>
      </c>
      <c r="I37" s="1513">
        <v>0</v>
      </c>
      <c r="J37" s="1514">
        <v>33</v>
      </c>
      <c r="K37" s="1515">
        <v>0</v>
      </c>
      <c r="L37" s="1516" t="s">
        <v>702</v>
      </c>
      <c r="M37" s="1516" t="s">
        <v>1397</v>
      </c>
      <c r="N37" s="1689" t="s">
        <v>116</v>
      </c>
      <c r="O37" s="1644"/>
      <c r="P37" s="245" t="b">
        <f t="shared" si="3"/>
        <v>0</v>
      </c>
      <c r="R37" s="245" t="b">
        <f t="shared" si="1"/>
        <v>0</v>
      </c>
      <c r="AO37" s="238" t="str">
        <f t="shared" si="2"/>
        <v>SJ65</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165</v>
      </c>
      <c r="D38" s="1511" t="s">
        <v>145</v>
      </c>
      <c r="E38" s="1512"/>
      <c r="F38" s="1513">
        <v>24</v>
      </c>
      <c r="G38" s="1514"/>
      <c r="H38" s="1515"/>
      <c r="I38" s="1513"/>
      <c r="J38" s="1514"/>
      <c r="K38" s="1515"/>
      <c r="L38" s="1516" t="s">
        <v>116</v>
      </c>
      <c r="M38" s="1516" t="s">
        <v>1397</v>
      </c>
      <c r="N38" s="1689" t="s">
        <v>116</v>
      </c>
      <c r="O38" s="1644"/>
      <c r="P38" s="245" t="b">
        <f t="shared" si="3"/>
        <v>0</v>
      </c>
      <c r="R38" s="245" t="b">
        <f t="shared" si="1"/>
        <v>0</v>
      </c>
      <c r="AO38" s="238" t="str">
        <f t="shared" si="2"/>
        <v>SJ65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146</v>
      </c>
      <c r="C39" s="1511" t="s">
        <v>165</v>
      </c>
      <c r="D39" s="1511" t="s">
        <v>145</v>
      </c>
      <c r="E39" s="1512"/>
      <c r="F39" s="1513">
        <v>600</v>
      </c>
      <c r="G39" s="1514">
        <v>3</v>
      </c>
      <c r="H39" s="1515">
        <v>0</v>
      </c>
      <c r="I39" s="1513"/>
      <c r="J39" s="1514"/>
      <c r="K39" s="1515"/>
      <c r="L39" s="1516" t="s">
        <v>702</v>
      </c>
      <c r="M39" s="1516" t="s">
        <v>1397</v>
      </c>
      <c r="N39" s="1689" t="s">
        <v>116</v>
      </c>
      <c r="O39" s="1644"/>
      <c r="P39" s="245" t="b">
        <f t="shared" si="3"/>
        <v>0</v>
      </c>
      <c r="R39" s="245" t="b">
        <f t="shared" si="1"/>
        <v>0</v>
      </c>
      <c r="AO39" s="238" t="str">
        <f t="shared" si="2"/>
        <v>SJ65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1872</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SJ66</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167</v>
      </c>
      <c r="D41" s="1511" t="s">
        <v>145</v>
      </c>
      <c r="E41" s="1512"/>
      <c r="F41" s="1513">
        <v>22.680000000000003</v>
      </c>
      <c r="G41" s="1514"/>
      <c r="H41" s="1515"/>
      <c r="I41" s="1513"/>
      <c r="J41" s="1514"/>
      <c r="K41" s="1515"/>
      <c r="L41" s="1516"/>
      <c r="M41" s="1516" t="s">
        <v>1397</v>
      </c>
      <c r="N41" s="1689" t="s">
        <v>116</v>
      </c>
      <c r="O41" s="1644"/>
      <c r="P41" s="245" t="b">
        <f t="shared" si="3"/>
        <v>0</v>
      </c>
      <c r="R41" s="245" t="b">
        <f t="shared" si="1"/>
        <v>0</v>
      </c>
      <c r="AO41" s="238" t="str">
        <f t="shared" si="2"/>
        <v>SJ66</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550</v>
      </c>
      <c r="G42" s="1514">
        <v>0</v>
      </c>
      <c r="H42" s="1515">
        <v>0</v>
      </c>
      <c r="I42" s="1513">
        <v>0</v>
      </c>
      <c r="J42" s="1514">
        <v>33</v>
      </c>
      <c r="K42" s="1515">
        <v>0</v>
      </c>
      <c r="L42" s="1516" t="s">
        <v>702</v>
      </c>
      <c r="M42" s="1516" t="s">
        <v>1397</v>
      </c>
      <c r="N42" s="1689" t="s">
        <v>116</v>
      </c>
      <c r="O42" s="1644"/>
      <c r="P42" s="245" t="b">
        <f t="shared" si="3"/>
        <v>0</v>
      </c>
      <c r="R42" s="245" t="b">
        <f t="shared" si="1"/>
        <v>0</v>
      </c>
      <c r="AO42" s="238" t="str">
        <f t="shared" si="2"/>
        <v>SJ66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165</v>
      </c>
      <c r="D43" s="1511" t="s">
        <v>145</v>
      </c>
      <c r="E43" s="1512"/>
      <c r="F43" s="1513">
        <v>24</v>
      </c>
      <c r="G43" s="1514"/>
      <c r="H43" s="1515"/>
      <c r="I43" s="1513"/>
      <c r="J43" s="1514"/>
      <c r="K43" s="1515"/>
      <c r="L43" s="1516" t="s">
        <v>116</v>
      </c>
      <c r="M43" s="1516" t="s">
        <v>1397</v>
      </c>
      <c r="N43" s="1689" t="s">
        <v>116</v>
      </c>
      <c r="O43" s="1644"/>
      <c r="P43" s="245" t="b">
        <f t="shared" si="3"/>
        <v>0</v>
      </c>
      <c r="R43" s="245" t="b">
        <f t="shared" si="1"/>
        <v>0</v>
      </c>
      <c r="AO43" s="238" t="str">
        <f t="shared" si="2"/>
        <v>SJ66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146</v>
      </c>
      <c r="C44" s="1511" t="s">
        <v>165</v>
      </c>
      <c r="D44" s="1511" t="s">
        <v>145</v>
      </c>
      <c r="E44" s="1512"/>
      <c r="F44" s="1513">
        <v>600</v>
      </c>
      <c r="G44" s="1514">
        <v>3</v>
      </c>
      <c r="H44" s="1515">
        <v>0</v>
      </c>
      <c r="I44" s="1513"/>
      <c r="J44" s="1514"/>
      <c r="K44" s="1515"/>
      <c r="L44" s="1516" t="s">
        <v>702</v>
      </c>
      <c r="M44" s="1516" t="s">
        <v>1397</v>
      </c>
      <c r="N44" s="1689" t="s">
        <v>116</v>
      </c>
      <c r="O44" s="1644"/>
      <c r="P44" s="245" t="b">
        <f t="shared" si="3"/>
        <v>0</v>
      </c>
      <c r="R44" s="245" t="b">
        <f t="shared" si="1"/>
        <v>0</v>
      </c>
      <c r="AO44" s="238" t="str">
        <f t="shared" si="2"/>
        <v>SJ66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1873</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SJ67</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167</v>
      </c>
      <c r="D46" s="1511" t="s">
        <v>145</v>
      </c>
      <c r="E46" s="1512"/>
      <c r="F46" s="1513">
        <v>22.680000000000003</v>
      </c>
      <c r="G46" s="1514"/>
      <c r="H46" s="1515"/>
      <c r="I46" s="1513"/>
      <c r="J46" s="1514"/>
      <c r="K46" s="1515"/>
      <c r="L46" s="1516"/>
      <c r="M46" s="1516" t="s">
        <v>1397</v>
      </c>
      <c r="N46" s="1689" t="s">
        <v>116</v>
      </c>
      <c r="O46" s="1644"/>
      <c r="P46" s="245" t="b">
        <f t="shared" si="3"/>
        <v>0</v>
      </c>
      <c r="R46" s="245" t="b">
        <f t="shared" si="1"/>
        <v>0</v>
      </c>
      <c r="AO46" s="238" t="str">
        <f t="shared" si="2"/>
        <v>SJ67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163</v>
      </c>
      <c r="D47" s="1511" t="s">
        <v>145</v>
      </c>
      <c r="E47" s="1512"/>
      <c r="F47" s="1513">
        <v>249</v>
      </c>
      <c r="G47" s="1514">
        <v>0</v>
      </c>
      <c r="H47" s="1515">
        <v>0</v>
      </c>
      <c r="I47" s="1513">
        <v>0</v>
      </c>
      <c r="J47" s="1514">
        <v>16</v>
      </c>
      <c r="K47" s="1515">
        <v>4</v>
      </c>
      <c r="L47" s="1516" t="s">
        <v>702</v>
      </c>
      <c r="M47" s="1516" t="s">
        <v>1397</v>
      </c>
      <c r="N47" s="1689" t="s">
        <v>116</v>
      </c>
      <c r="O47" s="1644"/>
      <c r="P47" s="245" t="b">
        <f t="shared" si="3"/>
        <v>0</v>
      </c>
      <c r="R47" s="245" t="b">
        <f t="shared" si="1"/>
        <v>0</v>
      </c>
      <c r="AO47" s="238" t="str">
        <f t="shared" si="2"/>
        <v>SJ67</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165</v>
      </c>
      <c r="D48" s="1511" t="s">
        <v>145</v>
      </c>
      <c r="E48" s="1512"/>
      <c r="F48" s="1513">
        <v>24</v>
      </c>
      <c r="G48" s="1514"/>
      <c r="H48" s="1515"/>
      <c r="I48" s="1513"/>
      <c r="J48" s="1514"/>
      <c r="K48" s="1515"/>
      <c r="L48" s="1516" t="s">
        <v>116</v>
      </c>
      <c r="M48" s="1516" t="s">
        <v>1397</v>
      </c>
      <c r="N48" s="1689" t="s">
        <v>116</v>
      </c>
      <c r="O48" s="1644"/>
      <c r="P48" s="245" t="b">
        <f t="shared" si="3"/>
        <v>0</v>
      </c>
      <c r="R48" s="245" t="b">
        <f t="shared" si="1"/>
        <v>0</v>
      </c>
      <c r="AO48" s="238" t="str">
        <f t="shared" si="2"/>
        <v>SJ67</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146</v>
      </c>
      <c r="C49" s="1511" t="s">
        <v>165</v>
      </c>
      <c r="D49" s="1511" t="s">
        <v>145</v>
      </c>
      <c r="E49" s="1512"/>
      <c r="F49" s="1513">
        <v>600</v>
      </c>
      <c r="G49" s="1514">
        <v>3</v>
      </c>
      <c r="H49" s="1515">
        <v>0</v>
      </c>
      <c r="I49" s="1513"/>
      <c r="J49" s="1514"/>
      <c r="K49" s="1515"/>
      <c r="L49" s="1516" t="s">
        <v>702</v>
      </c>
      <c r="M49" s="1516" t="s">
        <v>1397</v>
      </c>
      <c r="N49" s="1689" t="s">
        <v>116</v>
      </c>
      <c r="O49" s="1644"/>
      <c r="P49" s="245" t="b">
        <f t="shared" si="3"/>
        <v>0</v>
      </c>
      <c r="R49" s="245" t="b">
        <f t="shared" si="1"/>
        <v>0</v>
      </c>
      <c r="AO49" s="238" t="str">
        <f t="shared" si="2"/>
        <v>SJ67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1874</v>
      </c>
      <c r="B50" s="1511" t="s">
        <v>151</v>
      </c>
      <c r="C50" s="1511" t="s">
        <v>165</v>
      </c>
      <c r="D50" s="1511" t="s">
        <v>145</v>
      </c>
      <c r="E50" s="1512"/>
      <c r="F50" s="1513">
        <v>125</v>
      </c>
      <c r="G50" s="1514"/>
      <c r="H50" s="1515"/>
      <c r="I50" s="1513"/>
      <c r="J50" s="1514"/>
      <c r="K50" s="1515"/>
      <c r="L50" s="1516"/>
      <c r="M50" s="1516" t="s">
        <v>1397</v>
      </c>
      <c r="N50" s="1689" t="s">
        <v>116</v>
      </c>
      <c r="O50" s="1644"/>
      <c r="P50" s="245" t="b">
        <f t="shared" si="3"/>
        <v>0</v>
      </c>
      <c r="R50" s="245" t="b">
        <f t="shared" si="1"/>
        <v>0</v>
      </c>
      <c r="AO50" s="238" t="str">
        <f t="shared" si="2"/>
        <v>SJ68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151</v>
      </c>
      <c r="C51" s="1511" t="s">
        <v>167</v>
      </c>
      <c r="D51" s="1511" t="s">
        <v>145</v>
      </c>
      <c r="E51" s="1512"/>
      <c r="F51" s="1513">
        <v>22.680000000000003</v>
      </c>
      <c r="G51" s="1514"/>
      <c r="H51" s="1515"/>
      <c r="I51" s="1513"/>
      <c r="J51" s="1514"/>
      <c r="K51" s="1515"/>
      <c r="L51" s="1516"/>
      <c r="M51" s="1516" t="s">
        <v>1397</v>
      </c>
      <c r="N51" s="1689" t="s">
        <v>116</v>
      </c>
      <c r="O51" s="1644"/>
      <c r="P51" s="245" t="b">
        <f t="shared" si="3"/>
        <v>0</v>
      </c>
      <c r="R51" s="245" t="b">
        <f t="shared" si="1"/>
        <v>0</v>
      </c>
      <c r="AO51" s="238" t="str">
        <f t="shared" si="2"/>
        <v>SJ68</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249</v>
      </c>
      <c r="G52" s="1514">
        <v>0</v>
      </c>
      <c r="H52" s="1515">
        <v>0</v>
      </c>
      <c r="I52" s="1513">
        <v>0</v>
      </c>
      <c r="J52" s="1514">
        <v>16</v>
      </c>
      <c r="K52" s="1515">
        <v>4</v>
      </c>
      <c r="L52" s="1516" t="s">
        <v>702</v>
      </c>
      <c r="M52" s="1516" t="s">
        <v>1397</v>
      </c>
      <c r="N52" s="1689" t="s">
        <v>116</v>
      </c>
      <c r="O52" s="1644"/>
      <c r="P52" s="245" t="b">
        <f t="shared" si="3"/>
        <v>0</v>
      </c>
      <c r="R52" s="245" t="b">
        <f t="shared" si="1"/>
        <v>0</v>
      </c>
      <c r="AO52" s="238" t="str">
        <f t="shared" si="2"/>
        <v>SJ68</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165</v>
      </c>
      <c r="D53" s="1511" t="s">
        <v>145</v>
      </c>
      <c r="E53" s="1512"/>
      <c r="F53" s="1513">
        <v>24</v>
      </c>
      <c r="G53" s="1514"/>
      <c r="H53" s="1515"/>
      <c r="I53" s="1513"/>
      <c r="J53" s="1514"/>
      <c r="K53" s="1515"/>
      <c r="L53" s="1516" t="s">
        <v>116</v>
      </c>
      <c r="M53" s="1516" t="s">
        <v>1397</v>
      </c>
      <c r="N53" s="1689" t="s">
        <v>116</v>
      </c>
      <c r="O53" s="1644"/>
      <c r="P53" s="245" t="b">
        <f t="shared" si="3"/>
        <v>0</v>
      </c>
      <c r="R53" s="245" t="b">
        <f t="shared" si="1"/>
        <v>0</v>
      </c>
      <c r="AO53" s="238" t="str">
        <f t="shared" si="2"/>
        <v>SJ68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1875</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SJ69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167</v>
      </c>
      <c r="D55" s="1520" t="s">
        <v>145</v>
      </c>
      <c r="E55" s="1521"/>
      <c r="F55" s="1522">
        <v>22.680000000000003</v>
      </c>
      <c r="G55" s="1523"/>
      <c r="H55" s="1524"/>
      <c r="I55" s="1522"/>
      <c r="J55" s="1523"/>
      <c r="K55" s="1524"/>
      <c r="L55" s="1525"/>
      <c r="M55" s="1525" t="s">
        <v>1397</v>
      </c>
      <c r="N55" s="1690"/>
      <c r="O55" s="1644"/>
      <c r="P55" s="245" t="b">
        <f t="shared" si="3"/>
        <v>0</v>
      </c>
      <c r="R55" s="245" t="b">
        <f t="shared" si="1"/>
        <v>0</v>
      </c>
      <c r="AO55" s="238" t="str">
        <f t="shared" si="2"/>
        <v>SJ69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29" priority="4" stopIfTrue="1">
      <formula>AND($B14="NU",F14&lt;0)</formula>
    </cfRule>
  </conditionalFormatting>
  <conditionalFormatting sqref="B14:B55">
    <cfRule type="expression" dxfId="128" priority="5" stopIfTrue="1">
      <formula>OR(AND($B14="NU",F14&lt;0),AND($B14="NU",I14&lt;0))</formula>
    </cfRule>
  </conditionalFormatting>
  <conditionalFormatting sqref="G14:H55 J14:L55">
    <cfRule type="expression" dxfId="127" priority="6" stopIfTrue="1">
      <formula>$R14</formula>
    </cfRule>
  </conditionalFormatting>
  <conditionalFormatting sqref="I2:K4">
    <cfRule type="cellIs" dxfId="126" priority="7" stopIfTrue="1" operator="equal">
      <formula>""</formula>
    </cfRule>
  </conditionalFormatting>
  <conditionalFormatting sqref="I14:I55">
    <cfRule type="expression" dxfId="125" priority="8" stopIfTrue="1">
      <formula>OR($R14,$B14="CZ",AND($B14="NU",I14&lt;0))</formula>
    </cfRule>
  </conditionalFormatting>
  <conditionalFormatting sqref="A14:A55">
    <cfRule type="expression" dxfId="124" priority="3">
      <formula>NOT($P14)</formula>
    </cfRule>
  </conditionalFormatting>
  <conditionalFormatting sqref="B14:D55">
    <cfRule type="expression" dxfId="1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2" priority="9">
      <formula>AND(NOT($P14),$T$1)</formula>
    </cfRule>
    <cfRule type="expression" dxfId="121" priority="10">
      <formula>AND($AP14,$S$1="M")</formula>
    </cfRule>
  </conditionalFormatting>
  <conditionalFormatting sqref="L14:L55">
    <cfRule type="expression" dxfId="1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ABE3820A-B002-4EE6-8581-E99647528F5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58CFCC1-7FC0-4E5D-8E01-BCA7AA4BE152}">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4EEAFB34-B79C-460D-9B0D-0CD321A90BE4}">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71FFAE1-512E-4D83-98E7-4D8EBD77C892}">
      <formula1>IF($CA$14,$CA$16:$CA$21,$CB$16:$CB$19)</formula1>
    </dataValidation>
    <dataValidation type="list" allowBlank="1" showErrorMessage="1" errorTitle="Invalid Type" error="You MUST select a Type from the dropdown list provided._x000a__x000a_Also, make sure your Cap Lock is turned on." sqref="B14:B55" xr:uid="{25F6E7D4-F86B-4A6C-B6CE-0F35BCCDAC09}">
      <formula1>$BF$15:$BU$15</formula1>
    </dataValidation>
    <dataValidation allowBlank="1" showInputMessage="1" errorTitle="Invalid Load Case" error="You MUST use a Load Case from the list provided." sqref="M14:M55" xr:uid="{7D3C61D4-D2F2-4794-82A2-B49926E8700E}"/>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3E82-A94E-479C-ABB7-2A10B46B660D}">
  <sheetPr codeName="Sheet4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35</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163</v>
      </c>
      <c r="D15" s="1511" t="s">
        <v>145</v>
      </c>
      <c r="E15" s="1512"/>
      <c r="F15" s="1513">
        <v>514</v>
      </c>
      <c r="G15" s="1514">
        <v>0</v>
      </c>
      <c r="H15" s="1515">
        <v>0</v>
      </c>
      <c r="I15" s="1513">
        <v>0</v>
      </c>
      <c r="J15" s="1514">
        <v>30</v>
      </c>
      <c r="K15" s="1515">
        <v>9.75</v>
      </c>
      <c r="L15" s="1516" t="s">
        <v>702</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t="s">
        <v>1876</v>
      </c>
      <c r="B16" s="1511" t="s">
        <v>151</v>
      </c>
      <c r="C16" s="1511" t="s">
        <v>165</v>
      </c>
      <c r="D16" s="1511" t="s">
        <v>145</v>
      </c>
      <c r="E16" s="1512"/>
      <c r="F16" s="1513">
        <v>125</v>
      </c>
      <c r="G16" s="1514"/>
      <c r="H16" s="1515"/>
      <c r="I16" s="1513"/>
      <c r="J16" s="1514"/>
      <c r="K16" s="1515"/>
      <c r="L16" s="1516"/>
      <c r="M16" s="1517" t="s">
        <v>1397</v>
      </c>
      <c r="N16" s="1689"/>
      <c r="O16" s="1644"/>
      <c r="P16" s="245" t="b">
        <f t="shared" si="0"/>
        <v>0</v>
      </c>
      <c r="R16" s="245" t="b">
        <f t="shared" si="1"/>
        <v>0</v>
      </c>
      <c r="AO16" s="238" t="str">
        <f t="shared" si="2"/>
        <v>SJ70</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22.680000000000003</v>
      </c>
      <c r="G17" s="1514"/>
      <c r="H17" s="1515"/>
      <c r="I17" s="1513"/>
      <c r="J17" s="1514"/>
      <c r="K17" s="1515"/>
      <c r="L17" s="1516"/>
      <c r="M17" s="1517" t="s">
        <v>1397</v>
      </c>
      <c r="N17" s="1689"/>
      <c r="O17" s="1644"/>
      <c r="P17" s="245" t="b">
        <f>IF(ISERROR(VLOOKUP(AO17,BE:BE,1,FALSE)),FALSE,IF(AO17&lt;&gt;"",VLOOKUP(AO17,BE:BE,1,FALSE)=AO17))</f>
        <v>0</v>
      </c>
      <c r="R17" s="245" t="b">
        <f t="shared" si="1"/>
        <v>0</v>
      </c>
      <c r="AO17" s="238" t="str">
        <f t="shared" si="2"/>
        <v>SJ70</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165</v>
      </c>
      <c r="D18" s="1511" t="s">
        <v>145</v>
      </c>
      <c r="E18" s="1512"/>
      <c r="F18" s="1513">
        <v>24</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0</v>
      </c>
      <c r="AO18" s="238" t="str">
        <f t="shared" si="2"/>
        <v>SJ70</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146</v>
      </c>
      <c r="C19" s="1511" t="s">
        <v>165</v>
      </c>
      <c r="D19" s="1511" t="s">
        <v>145</v>
      </c>
      <c r="E19" s="1512"/>
      <c r="F19" s="1513">
        <v>150</v>
      </c>
      <c r="G19" s="1514">
        <v>18</v>
      </c>
      <c r="H19" s="1515">
        <v>0</v>
      </c>
      <c r="I19" s="1513"/>
      <c r="J19" s="1514"/>
      <c r="K19" s="1515"/>
      <c r="L19" s="1516" t="s">
        <v>700</v>
      </c>
      <c r="M19" s="1517" t="s">
        <v>1397</v>
      </c>
      <c r="N19" s="1689" t="s">
        <v>116</v>
      </c>
      <c r="O19" s="1644"/>
      <c r="P19" s="245" t="b">
        <f t="shared" si="3"/>
        <v>0</v>
      </c>
      <c r="R19" s="245" t="b">
        <f t="shared" si="1"/>
        <v>0</v>
      </c>
      <c r="AO19" s="238" t="str">
        <f t="shared" si="2"/>
        <v>SJ70</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1877</v>
      </c>
      <c r="B20" s="1511" t="s">
        <v>151</v>
      </c>
      <c r="C20" s="1511" t="s">
        <v>165</v>
      </c>
      <c r="D20" s="1511" t="s">
        <v>145</v>
      </c>
      <c r="E20" s="1512"/>
      <c r="F20" s="1513">
        <v>125</v>
      </c>
      <c r="G20" s="1514"/>
      <c r="H20" s="1515"/>
      <c r="I20" s="1513"/>
      <c r="J20" s="1514"/>
      <c r="K20" s="1515"/>
      <c r="L20" s="1516"/>
      <c r="M20" s="1517" t="s">
        <v>1397</v>
      </c>
      <c r="N20" s="1518"/>
      <c r="O20" s="1645"/>
      <c r="P20" s="245" t="b">
        <f t="shared" si="3"/>
        <v>0</v>
      </c>
      <c r="R20" s="245" t="b">
        <f t="shared" si="1"/>
        <v>0</v>
      </c>
      <c r="AO20" s="238" t="str">
        <f t="shared" si="2"/>
        <v>SJ71</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22.680000000000003</v>
      </c>
      <c r="G21" s="1514"/>
      <c r="H21" s="1515"/>
      <c r="I21" s="1513"/>
      <c r="J21" s="1514"/>
      <c r="K21" s="1515"/>
      <c r="L21" s="1516"/>
      <c r="M21" s="1517" t="s">
        <v>1397</v>
      </c>
      <c r="N21" s="1518"/>
      <c r="O21" s="1645"/>
      <c r="P21" s="245" t="b">
        <f t="shared" si="3"/>
        <v>0</v>
      </c>
      <c r="R21" s="245" t="b">
        <f t="shared" si="1"/>
        <v>0</v>
      </c>
      <c r="AO21" s="238" t="str">
        <f t="shared" si="2"/>
        <v>SJ71</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165</v>
      </c>
      <c r="D22" s="1511" t="s">
        <v>145</v>
      </c>
      <c r="E22" s="1512"/>
      <c r="F22" s="1513">
        <v>24</v>
      </c>
      <c r="G22" s="1514"/>
      <c r="H22" s="1515"/>
      <c r="I22" s="1513"/>
      <c r="J22" s="1514"/>
      <c r="K22" s="1515"/>
      <c r="L22" s="1516" t="s">
        <v>116</v>
      </c>
      <c r="M22" s="1517" t="s">
        <v>1397</v>
      </c>
      <c r="N22" s="1518"/>
      <c r="O22" s="1645"/>
      <c r="P22" s="245" t="b">
        <f t="shared" si="3"/>
        <v>0</v>
      </c>
      <c r="R22" s="245" t="b">
        <f t="shared" si="1"/>
        <v>0</v>
      </c>
      <c r="AO22" s="238" t="str">
        <f t="shared" si="2"/>
        <v>SJ71</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146</v>
      </c>
      <c r="C23" s="1511" t="s">
        <v>165</v>
      </c>
      <c r="D23" s="1511" t="s">
        <v>145</v>
      </c>
      <c r="E23" s="1512"/>
      <c r="F23" s="1513">
        <v>150</v>
      </c>
      <c r="G23" s="1514">
        <v>18</v>
      </c>
      <c r="H23" s="1515">
        <v>0</v>
      </c>
      <c r="I23" s="1513"/>
      <c r="J23" s="1514"/>
      <c r="K23" s="1515"/>
      <c r="L23" s="1516" t="s">
        <v>700</v>
      </c>
      <c r="M23" s="1517" t="s">
        <v>1397</v>
      </c>
      <c r="N23" s="1518"/>
      <c r="O23" s="1645"/>
      <c r="P23" s="245" t="b">
        <f t="shared" si="3"/>
        <v>0</v>
      </c>
      <c r="R23" s="245" t="b">
        <f t="shared" si="1"/>
        <v>0</v>
      </c>
      <c r="AO23" s="238" t="str">
        <f t="shared" si="2"/>
        <v>SJ71</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t="s">
        <v>1878</v>
      </c>
      <c r="B24" s="1511" t="s">
        <v>151</v>
      </c>
      <c r="C24" s="1511" t="s">
        <v>165</v>
      </c>
      <c r="D24" s="1511" t="s">
        <v>145</v>
      </c>
      <c r="E24" s="1512"/>
      <c r="F24" s="1513">
        <v>125</v>
      </c>
      <c r="G24" s="1514"/>
      <c r="H24" s="1515"/>
      <c r="I24" s="1513"/>
      <c r="J24" s="1514"/>
      <c r="K24" s="1515"/>
      <c r="L24" s="1516"/>
      <c r="M24" s="1517" t="s">
        <v>1397</v>
      </c>
      <c r="N24" s="1518"/>
      <c r="O24" s="1645"/>
      <c r="P24" s="245" t="b">
        <f t="shared" si="3"/>
        <v>0</v>
      </c>
      <c r="R24" s="245" t="b">
        <f t="shared" si="1"/>
        <v>0</v>
      </c>
      <c r="AO24" s="238" t="str">
        <f t="shared" si="2"/>
        <v>SJ72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22.680000000000003</v>
      </c>
      <c r="G25" s="1514"/>
      <c r="H25" s="1515"/>
      <c r="I25" s="1513"/>
      <c r="J25" s="1514"/>
      <c r="K25" s="1515"/>
      <c r="L25" s="1516"/>
      <c r="M25" s="1517" t="s">
        <v>1397</v>
      </c>
      <c r="N25" s="1518"/>
      <c r="O25" s="1645"/>
      <c r="P25" s="245" t="b">
        <f t="shared" si="3"/>
        <v>0</v>
      </c>
      <c r="R25" s="245" t="b">
        <f t="shared" si="1"/>
        <v>0</v>
      </c>
      <c r="AO25" s="238" t="str">
        <f t="shared" si="2"/>
        <v>SJ72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424</v>
      </c>
      <c r="G26" s="1514">
        <v>0</v>
      </c>
      <c r="H26" s="1515">
        <v>0</v>
      </c>
      <c r="I26" s="1513">
        <v>0</v>
      </c>
      <c r="J26" s="1514">
        <v>20</v>
      </c>
      <c r="K26" s="1515">
        <v>9</v>
      </c>
      <c r="L26" s="1516" t="s">
        <v>702</v>
      </c>
      <c r="M26" s="1517" t="s">
        <v>1397</v>
      </c>
      <c r="N26" s="1518"/>
      <c r="O26" s="1645"/>
      <c r="P26" s="245" t="b">
        <f t="shared" si="3"/>
        <v>0</v>
      </c>
      <c r="R26" s="245" t="b">
        <f t="shared" si="1"/>
        <v>0</v>
      </c>
      <c r="AO26" s="238" t="str">
        <f t="shared" si="2"/>
        <v>SJ72</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154</v>
      </c>
      <c r="C27" s="1511" t="s">
        <v>165</v>
      </c>
      <c r="D27" s="1511" t="s">
        <v>145</v>
      </c>
      <c r="E27" s="1512"/>
      <c r="F27" s="1513">
        <v>540</v>
      </c>
      <c r="G27" s="1514"/>
      <c r="H27" s="1515"/>
      <c r="I27" s="1513"/>
      <c r="J27" s="1514"/>
      <c r="K27" s="1515"/>
      <c r="L27" s="1516" t="s">
        <v>116</v>
      </c>
      <c r="M27" s="1517" t="s">
        <v>1397</v>
      </c>
      <c r="N27" s="1518"/>
      <c r="O27" s="1645"/>
      <c r="P27" s="245" t="b">
        <f t="shared" si="3"/>
        <v>0</v>
      </c>
      <c r="R27" s="245" t="b">
        <f t="shared" si="1"/>
        <v>1</v>
      </c>
      <c r="AO27" s="238" t="str">
        <f t="shared" si="2"/>
        <v>SJ72</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1879</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SJ73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167</v>
      </c>
      <c r="D29" s="1511" t="s">
        <v>145</v>
      </c>
      <c r="E29" s="1512"/>
      <c r="F29" s="1513">
        <v>22.680000000000003</v>
      </c>
      <c r="G29" s="1514"/>
      <c r="H29" s="1515"/>
      <c r="I29" s="1513"/>
      <c r="J29" s="1514"/>
      <c r="K29" s="1515"/>
      <c r="L29" s="1516"/>
      <c r="M29" s="1517" t="s">
        <v>1397</v>
      </c>
      <c r="N29" s="1689"/>
      <c r="O29" s="1644"/>
      <c r="P29" s="245" t="b">
        <f t="shared" si="3"/>
        <v>0</v>
      </c>
      <c r="R29" s="245" t="b">
        <f t="shared" si="1"/>
        <v>0</v>
      </c>
      <c r="AO29" s="238" t="str">
        <f t="shared" si="2"/>
        <v>SJ73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35</v>
      </c>
      <c r="G30" s="1514"/>
      <c r="H30" s="1515"/>
      <c r="I30" s="1513"/>
      <c r="J30" s="1514"/>
      <c r="K30" s="1515"/>
      <c r="L30" s="1516" t="s">
        <v>116</v>
      </c>
      <c r="M30" s="1517" t="s">
        <v>1397</v>
      </c>
      <c r="N30" s="1689" t="s">
        <v>116</v>
      </c>
      <c r="O30" s="1644"/>
      <c r="P30" s="245" t="b">
        <f t="shared" si="3"/>
        <v>0</v>
      </c>
      <c r="R30" s="245" t="b">
        <f t="shared" si="1"/>
        <v>0</v>
      </c>
      <c r="AO30" s="238" t="str">
        <f t="shared" si="2"/>
        <v>SJ73</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163</v>
      </c>
      <c r="D31" s="1511" t="s">
        <v>145</v>
      </c>
      <c r="E31" s="1512"/>
      <c r="F31" s="1513">
        <v>514</v>
      </c>
      <c r="G31" s="1514">
        <v>0</v>
      </c>
      <c r="H31" s="1515">
        <v>0</v>
      </c>
      <c r="I31" s="1513">
        <v>0</v>
      </c>
      <c r="J31" s="1514">
        <v>30</v>
      </c>
      <c r="K31" s="1515">
        <v>9.75</v>
      </c>
      <c r="L31" s="1516" t="s">
        <v>702</v>
      </c>
      <c r="M31" s="1516" t="s">
        <v>1397</v>
      </c>
      <c r="N31" s="1689" t="s">
        <v>116</v>
      </c>
      <c r="O31" s="1644"/>
      <c r="P31" s="245" t="b">
        <f t="shared" si="3"/>
        <v>0</v>
      </c>
      <c r="R31" s="245" t="b">
        <f t="shared" si="1"/>
        <v>0</v>
      </c>
      <c r="AO31" s="238" t="str">
        <f t="shared" si="2"/>
        <v>SJ73</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1880</v>
      </c>
      <c r="B32" s="1511" t="s">
        <v>148</v>
      </c>
      <c r="C32" s="1511" t="s">
        <v>163</v>
      </c>
      <c r="D32" s="1511" t="s">
        <v>145</v>
      </c>
      <c r="E32" s="1512"/>
      <c r="F32" s="1513">
        <v>20100</v>
      </c>
      <c r="G32" s="1514">
        <v>6</v>
      </c>
      <c r="H32" s="1515">
        <v>3.125</v>
      </c>
      <c r="I32" s="1513">
        <v>15400</v>
      </c>
      <c r="J32" s="1514">
        <v>12</v>
      </c>
      <c r="K32" s="1515">
        <v>5.875</v>
      </c>
      <c r="L32" s="1516" t="s">
        <v>702</v>
      </c>
      <c r="M32" s="1516" t="s">
        <v>1397</v>
      </c>
      <c r="N32" s="1689" t="s">
        <v>116</v>
      </c>
      <c r="O32" s="1644"/>
      <c r="P32" s="245" t="b">
        <f t="shared" si="3"/>
        <v>0</v>
      </c>
      <c r="R32" s="245" t="b">
        <f t="shared" si="1"/>
        <v>0</v>
      </c>
      <c r="AO32" s="238" t="str">
        <f t="shared" si="2"/>
        <v>SG1</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163</v>
      </c>
      <c r="D33" s="1511" t="s">
        <v>145</v>
      </c>
      <c r="E33" s="1512"/>
      <c r="F33" s="1513">
        <v>10800</v>
      </c>
      <c r="G33" s="1514">
        <v>18</v>
      </c>
      <c r="H33" s="1515">
        <v>8.625</v>
      </c>
      <c r="I33" s="1513">
        <v>6100</v>
      </c>
      <c r="J33" s="1514">
        <v>24</v>
      </c>
      <c r="K33" s="1515">
        <v>11.375</v>
      </c>
      <c r="L33" s="1516" t="s">
        <v>702</v>
      </c>
      <c r="M33" s="1516" t="s">
        <v>1397</v>
      </c>
      <c r="N33" s="1689" t="s">
        <v>116</v>
      </c>
      <c r="O33" s="1644"/>
      <c r="P33" s="245" t="b">
        <f t="shared" si="3"/>
        <v>0</v>
      </c>
      <c r="R33" s="245" t="b">
        <f t="shared" si="1"/>
        <v>0</v>
      </c>
      <c r="AO33" s="238" t="str">
        <f t="shared" si="2"/>
        <v>SG1</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163</v>
      </c>
      <c r="D34" s="1511" t="s">
        <v>145</v>
      </c>
      <c r="E34" s="1512"/>
      <c r="F34" s="1513">
        <v>1575</v>
      </c>
      <c r="G34" s="1514">
        <v>31</v>
      </c>
      <c r="H34" s="1515">
        <v>2.125</v>
      </c>
      <c r="I34" s="1513"/>
      <c r="J34" s="1514"/>
      <c r="K34" s="1515"/>
      <c r="L34" s="1516" t="s">
        <v>702</v>
      </c>
      <c r="M34" s="1516" t="s">
        <v>1397</v>
      </c>
      <c r="N34" s="1689" t="s">
        <v>116</v>
      </c>
      <c r="O34" s="1644"/>
      <c r="P34" s="245" t="b">
        <f t="shared" si="3"/>
        <v>0</v>
      </c>
      <c r="R34" s="245" t="b">
        <f t="shared" si="1"/>
        <v>0</v>
      </c>
      <c r="AO34" s="238" t="str">
        <f t="shared" si="2"/>
        <v>SG1</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154</v>
      </c>
      <c r="C35" s="1511" t="s">
        <v>165</v>
      </c>
      <c r="D35" s="1511" t="s">
        <v>145</v>
      </c>
      <c r="E35" s="1512"/>
      <c r="F35" s="1513">
        <v>1100</v>
      </c>
      <c r="G35" s="1514"/>
      <c r="H35" s="1515"/>
      <c r="I35" s="1513"/>
      <c r="J35" s="1514"/>
      <c r="K35" s="1515"/>
      <c r="L35" s="1516" t="s">
        <v>116</v>
      </c>
      <c r="M35" s="1516" t="s">
        <v>1397</v>
      </c>
      <c r="N35" s="1689" t="s">
        <v>116</v>
      </c>
      <c r="O35" s="1644"/>
      <c r="P35" s="245" t="b">
        <f t="shared" si="3"/>
        <v>0</v>
      </c>
      <c r="R35" s="245" t="b">
        <f t="shared" si="1"/>
        <v>1</v>
      </c>
      <c r="AO35" s="238" t="str">
        <f t="shared" si="2"/>
        <v>SG1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154</v>
      </c>
      <c r="C36" s="1511" t="s">
        <v>165</v>
      </c>
      <c r="D36" s="1511" t="s">
        <v>145</v>
      </c>
      <c r="E36" s="1512"/>
      <c r="F36" s="1513">
        <v>1320</v>
      </c>
      <c r="G36" s="1514"/>
      <c r="H36" s="1515"/>
      <c r="I36" s="1513"/>
      <c r="J36" s="1514"/>
      <c r="K36" s="1515"/>
      <c r="L36" s="1516" t="s">
        <v>116</v>
      </c>
      <c r="M36" s="1516" t="s">
        <v>1397</v>
      </c>
      <c r="N36" s="1689" t="s">
        <v>116</v>
      </c>
      <c r="O36" s="1644"/>
      <c r="P36" s="245" t="b">
        <f t="shared" si="3"/>
        <v>0</v>
      </c>
      <c r="R36" s="245" t="b">
        <f t="shared" si="1"/>
        <v>1</v>
      </c>
      <c r="AO36" s="238" t="str">
        <f t="shared" si="2"/>
        <v>SG1</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6684</v>
      </c>
      <c r="G37" s="1514">
        <v>6</v>
      </c>
      <c r="H37" s="1515">
        <v>0.375</v>
      </c>
      <c r="I37" s="1513"/>
      <c r="J37" s="1514"/>
      <c r="K37" s="1515"/>
      <c r="L37" s="1516" t="s">
        <v>703</v>
      </c>
      <c r="M37" s="1516" t="s">
        <v>1397</v>
      </c>
      <c r="N37" s="1689" t="s">
        <v>116</v>
      </c>
      <c r="O37" s="1644"/>
      <c r="P37" s="245" t="b">
        <f t="shared" si="3"/>
        <v>0</v>
      </c>
      <c r="R37" s="245" t="b">
        <f t="shared" si="1"/>
        <v>0</v>
      </c>
      <c r="AO37" s="238" t="str">
        <f t="shared" si="2"/>
        <v>SG1</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6684</v>
      </c>
      <c r="G38" s="1514">
        <v>12</v>
      </c>
      <c r="H38" s="1515">
        <v>3.125</v>
      </c>
      <c r="I38" s="1513"/>
      <c r="J38" s="1514"/>
      <c r="K38" s="1515"/>
      <c r="L38" s="1516" t="s">
        <v>703</v>
      </c>
      <c r="M38" s="1516" t="s">
        <v>1397</v>
      </c>
      <c r="N38" s="1689" t="s">
        <v>116</v>
      </c>
      <c r="O38" s="1644"/>
      <c r="P38" s="245" t="b">
        <f t="shared" si="3"/>
        <v>0</v>
      </c>
      <c r="R38" s="245" t="b">
        <f t="shared" si="1"/>
        <v>0</v>
      </c>
      <c r="AO38" s="238" t="str">
        <f t="shared" si="2"/>
        <v>SG1</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6684</v>
      </c>
      <c r="G39" s="1514">
        <v>18</v>
      </c>
      <c r="H39" s="1515">
        <v>5.875</v>
      </c>
      <c r="I39" s="1513"/>
      <c r="J39" s="1514"/>
      <c r="K39" s="1515"/>
      <c r="L39" s="1516" t="s">
        <v>703</v>
      </c>
      <c r="M39" s="1516" t="s">
        <v>1397</v>
      </c>
      <c r="N39" s="1689" t="s">
        <v>116</v>
      </c>
      <c r="O39" s="1644"/>
      <c r="P39" s="245" t="b">
        <f t="shared" si="3"/>
        <v>0</v>
      </c>
      <c r="R39" s="245" t="b">
        <f t="shared" si="1"/>
        <v>0</v>
      </c>
      <c r="AO39" s="238" t="str">
        <f t="shared" si="2"/>
        <v>SG1</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6684</v>
      </c>
      <c r="G40" s="1514">
        <v>24</v>
      </c>
      <c r="H40" s="1515">
        <v>8.625</v>
      </c>
      <c r="I40" s="1513"/>
      <c r="J40" s="1514"/>
      <c r="K40" s="1515"/>
      <c r="L40" s="1516" t="s">
        <v>703</v>
      </c>
      <c r="M40" s="1516" t="s">
        <v>1397</v>
      </c>
      <c r="N40" s="1689" t="s">
        <v>116</v>
      </c>
      <c r="O40" s="1644"/>
      <c r="P40" s="245" t="b">
        <f t="shared" si="3"/>
        <v>0</v>
      </c>
      <c r="R40" s="245" t="b">
        <f t="shared" si="1"/>
        <v>0</v>
      </c>
      <c r="AO40" s="238" t="str">
        <f t="shared" si="2"/>
        <v>SG1</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6684</v>
      </c>
      <c r="G41" s="1514">
        <v>30</v>
      </c>
      <c r="H41" s="1515">
        <v>11.375</v>
      </c>
      <c r="I41" s="1513"/>
      <c r="J41" s="1514"/>
      <c r="K41" s="1515"/>
      <c r="L41" s="1516" t="s">
        <v>703</v>
      </c>
      <c r="M41" s="1516" t="s">
        <v>1397</v>
      </c>
      <c r="N41" s="1689" t="s">
        <v>116</v>
      </c>
      <c r="O41" s="1644"/>
      <c r="P41" s="245" t="b">
        <f t="shared" si="3"/>
        <v>0</v>
      </c>
      <c r="R41" s="245" t="b">
        <f t="shared" si="1"/>
        <v>0</v>
      </c>
      <c r="AO41" s="238" t="str">
        <f t="shared" si="2"/>
        <v>SG1</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6684</v>
      </c>
      <c r="G42" s="1514">
        <v>37</v>
      </c>
      <c r="H42" s="1515">
        <v>2.1249999999999991</v>
      </c>
      <c r="I42" s="1513"/>
      <c r="J42" s="1514"/>
      <c r="K42" s="1515"/>
      <c r="L42" s="1516" t="s">
        <v>703</v>
      </c>
      <c r="M42" s="1516" t="s">
        <v>1397</v>
      </c>
      <c r="N42" s="1689" t="s">
        <v>116</v>
      </c>
      <c r="O42" s="1644"/>
      <c r="P42" s="245" t="b">
        <f t="shared" si="3"/>
        <v>0</v>
      </c>
      <c r="R42" s="245" t="b">
        <f t="shared" si="1"/>
        <v>0</v>
      </c>
      <c r="AO42" s="238" t="str">
        <f t="shared" si="2"/>
        <v>SG1</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6684</v>
      </c>
      <c r="G43" s="1514">
        <v>43</v>
      </c>
      <c r="H43" s="1515">
        <v>4.875</v>
      </c>
      <c r="I43" s="1513"/>
      <c r="J43" s="1514"/>
      <c r="K43" s="1515"/>
      <c r="L43" s="1516" t="s">
        <v>703</v>
      </c>
      <c r="M43" s="1516" t="s">
        <v>1397</v>
      </c>
      <c r="N43" s="1689" t="s">
        <v>116</v>
      </c>
      <c r="O43" s="1644"/>
      <c r="P43" s="245" t="b">
        <f t="shared" si="3"/>
        <v>0</v>
      </c>
      <c r="R43" s="245" t="b">
        <f t="shared" si="1"/>
        <v>0</v>
      </c>
      <c r="AO43" s="238" t="str">
        <f t="shared" si="2"/>
        <v>SG1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6684</v>
      </c>
      <c r="G44" s="1514">
        <v>49</v>
      </c>
      <c r="H44" s="1515">
        <v>7.6250000000000009</v>
      </c>
      <c r="I44" s="1513"/>
      <c r="J44" s="1514"/>
      <c r="K44" s="1515"/>
      <c r="L44" s="1516" t="s">
        <v>703</v>
      </c>
      <c r="M44" s="1516" t="s">
        <v>1397</v>
      </c>
      <c r="N44" s="1689" t="s">
        <v>116</v>
      </c>
      <c r="O44" s="1644"/>
      <c r="P44" s="245" t="b">
        <f t="shared" si="3"/>
        <v>0</v>
      </c>
      <c r="R44" s="245" t="b">
        <f t="shared" si="1"/>
        <v>0</v>
      </c>
      <c r="AO44" s="238" t="str">
        <f t="shared" si="2"/>
        <v>SG1</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167</v>
      </c>
      <c r="D45" s="1511" t="s">
        <v>145</v>
      </c>
      <c r="E45" s="1512"/>
      <c r="F45" s="1513">
        <v>1213</v>
      </c>
      <c r="G45" s="1514">
        <v>6</v>
      </c>
      <c r="H45" s="1515">
        <v>0.375</v>
      </c>
      <c r="I45" s="1513"/>
      <c r="J45" s="1514"/>
      <c r="K45" s="1515"/>
      <c r="L45" s="1516" t="s">
        <v>703</v>
      </c>
      <c r="M45" s="1516" t="s">
        <v>1397</v>
      </c>
      <c r="N45" s="1689" t="s">
        <v>116</v>
      </c>
      <c r="O45" s="1644"/>
      <c r="P45" s="245" t="b">
        <f t="shared" si="3"/>
        <v>0</v>
      </c>
      <c r="R45" s="245" t="b">
        <f t="shared" si="1"/>
        <v>0</v>
      </c>
      <c r="AO45" s="238" t="str">
        <f t="shared" si="2"/>
        <v>SG1</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167</v>
      </c>
      <c r="D46" s="1511" t="s">
        <v>145</v>
      </c>
      <c r="E46" s="1512"/>
      <c r="F46" s="1513">
        <v>1213</v>
      </c>
      <c r="G46" s="1514">
        <v>12</v>
      </c>
      <c r="H46" s="1515">
        <v>3.125</v>
      </c>
      <c r="I46" s="1513"/>
      <c r="J46" s="1514"/>
      <c r="K46" s="1515"/>
      <c r="L46" s="1516" t="s">
        <v>703</v>
      </c>
      <c r="M46" s="1516" t="s">
        <v>1397</v>
      </c>
      <c r="N46" s="1689" t="s">
        <v>116</v>
      </c>
      <c r="O46" s="1644"/>
      <c r="P46" s="245" t="b">
        <f t="shared" si="3"/>
        <v>0</v>
      </c>
      <c r="R46" s="245" t="b">
        <f t="shared" si="1"/>
        <v>0</v>
      </c>
      <c r="AO46" s="238" t="str">
        <f t="shared" si="2"/>
        <v>SG1</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167</v>
      </c>
      <c r="D47" s="1511" t="s">
        <v>145</v>
      </c>
      <c r="E47" s="1512"/>
      <c r="F47" s="1513">
        <v>1213</v>
      </c>
      <c r="G47" s="1514">
        <v>18</v>
      </c>
      <c r="H47" s="1515">
        <v>5.875</v>
      </c>
      <c r="I47" s="1513"/>
      <c r="J47" s="1514"/>
      <c r="K47" s="1515"/>
      <c r="L47" s="1516" t="s">
        <v>703</v>
      </c>
      <c r="M47" s="1516" t="s">
        <v>1397</v>
      </c>
      <c r="N47" s="1689" t="s">
        <v>116</v>
      </c>
      <c r="O47" s="1644"/>
      <c r="P47" s="245" t="b">
        <f t="shared" si="3"/>
        <v>0</v>
      </c>
      <c r="R47" s="245" t="b">
        <f t="shared" si="1"/>
        <v>0</v>
      </c>
      <c r="AO47" s="238" t="str">
        <f t="shared" si="2"/>
        <v>SG1</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167</v>
      </c>
      <c r="D48" s="1511" t="s">
        <v>145</v>
      </c>
      <c r="E48" s="1512"/>
      <c r="F48" s="1513">
        <v>1213</v>
      </c>
      <c r="G48" s="1514">
        <v>24</v>
      </c>
      <c r="H48" s="1515">
        <v>8.625</v>
      </c>
      <c r="I48" s="1513"/>
      <c r="J48" s="1514"/>
      <c r="K48" s="1515"/>
      <c r="L48" s="1516" t="s">
        <v>703</v>
      </c>
      <c r="M48" s="1516" t="s">
        <v>1397</v>
      </c>
      <c r="N48" s="1689" t="s">
        <v>116</v>
      </c>
      <c r="O48" s="1644"/>
      <c r="P48" s="245" t="b">
        <f t="shared" si="3"/>
        <v>0</v>
      </c>
      <c r="R48" s="245" t="b">
        <f t="shared" si="1"/>
        <v>0</v>
      </c>
      <c r="AO48" s="238" t="str">
        <f t="shared" si="2"/>
        <v>SG1</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1213</v>
      </c>
      <c r="G49" s="1514">
        <v>30</v>
      </c>
      <c r="H49" s="1515">
        <v>11.375</v>
      </c>
      <c r="I49" s="1513"/>
      <c r="J49" s="1514"/>
      <c r="K49" s="1515"/>
      <c r="L49" s="1516" t="s">
        <v>703</v>
      </c>
      <c r="M49" s="1516" t="s">
        <v>1397</v>
      </c>
      <c r="N49" s="1689" t="s">
        <v>116</v>
      </c>
      <c r="O49" s="1644"/>
      <c r="P49" s="245" t="b">
        <f t="shared" si="3"/>
        <v>0</v>
      </c>
      <c r="R49" s="245" t="b">
        <f t="shared" si="1"/>
        <v>0</v>
      </c>
      <c r="AO49" s="238" t="str">
        <f t="shared" si="2"/>
        <v>SG1</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167</v>
      </c>
      <c r="D50" s="1511" t="s">
        <v>145</v>
      </c>
      <c r="E50" s="1512"/>
      <c r="F50" s="1513">
        <v>1213</v>
      </c>
      <c r="G50" s="1514">
        <v>37</v>
      </c>
      <c r="H50" s="1515">
        <v>2.1249999999999991</v>
      </c>
      <c r="I50" s="1513"/>
      <c r="J50" s="1514"/>
      <c r="K50" s="1515"/>
      <c r="L50" s="1516" t="s">
        <v>703</v>
      </c>
      <c r="M50" s="1516" t="s">
        <v>1397</v>
      </c>
      <c r="N50" s="1689" t="s">
        <v>116</v>
      </c>
      <c r="O50" s="1644"/>
      <c r="P50" s="245" t="b">
        <f t="shared" si="3"/>
        <v>0</v>
      </c>
      <c r="R50" s="245" t="b">
        <f t="shared" si="1"/>
        <v>0</v>
      </c>
      <c r="AO50" s="238" t="str">
        <f t="shared" si="2"/>
        <v>SG1</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167</v>
      </c>
      <c r="D51" s="1511" t="s">
        <v>145</v>
      </c>
      <c r="E51" s="1512"/>
      <c r="F51" s="1513">
        <v>1213</v>
      </c>
      <c r="G51" s="1514">
        <v>43</v>
      </c>
      <c r="H51" s="1515">
        <v>4.875</v>
      </c>
      <c r="I51" s="1513"/>
      <c r="J51" s="1514"/>
      <c r="K51" s="1515"/>
      <c r="L51" s="1516" t="s">
        <v>703</v>
      </c>
      <c r="M51" s="1516" t="s">
        <v>1397</v>
      </c>
      <c r="N51" s="1689" t="s">
        <v>116</v>
      </c>
      <c r="O51" s="1644"/>
      <c r="P51" s="245" t="b">
        <f t="shared" si="3"/>
        <v>0</v>
      </c>
      <c r="R51" s="245" t="b">
        <f t="shared" si="1"/>
        <v>0</v>
      </c>
      <c r="AO51" s="238" t="str">
        <f t="shared" si="2"/>
        <v>SG1</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167</v>
      </c>
      <c r="D52" s="1511" t="s">
        <v>145</v>
      </c>
      <c r="E52" s="1512"/>
      <c r="F52" s="1513">
        <v>1213</v>
      </c>
      <c r="G52" s="1514">
        <v>49</v>
      </c>
      <c r="H52" s="1515">
        <v>7.6250000000000009</v>
      </c>
      <c r="I52" s="1513"/>
      <c r="J52" s="1514"/>
      <c r="K52" s="1515"/>
      <c r="L52" s="1516" t="s">
        <v>703</v>
      </c>
      <c r="M52" s="1516" t="s">
        <v>1397</v>
      </c>
      <c r="N52" s="1689" t="s">
        <v>116</v>
      </c>
      <c r="O52" s="1644"/>
      <c r="P52" s="245" t="b">
        <f t="shared" si="3"/>
        <v>0</v>
      </c>
      <c r="R52" s="245" t="b">
        <f t="shared" si="1"/>
        <v>0</v>
      </c>
      <c r="AO52" s="238" t="str">
        <f t="shared" si="2"/>
        <v>SG1</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1881</v>
      </c>
      <c r="B53" s="1511" t="s">
        <v>154</v>
      </c>
      <c r="C53" s="1511" t="s">
        <v>165</v>
      </c>
      <c r="D53" s="1511" t="s">
        <v>145</v>
      </c>
      <c r="E53" s="1512"/>
      <c r="F53" s="1513">
        <v>2000</v>
      </c>
      <c r="G53" s="1514"/>
      <c r="H53" s="1515"/>
      <c r="I53" s="1513"/>
      <c r="J53" s="1514"/>
      <c r="K53" s="1515"/>
      <c r="L53" s="1516" t="s">
        <v>116</v>
      </c>
      <c r="M53" s="1516" t="s">
        <v>1397</v>
      </c>
      <c r="N53" s="1689" t="s">
        <v>116</v>
      </c>
      <c r="O53" s="1644"/>
      <c r="P53" s="245" t="b">
        <f t="shared" si="3"/>
        <v>0</v>
      </c>
      <c r="R53" s="245" t="b">
        <f t="shared" si="1"/>
        <v>1</v>
      </c>
      <c r="AO53" s="238" t="str">
        <f t="shared" si="2"/>
        <v>SG2</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6684</v>
      </c>
      <c r="G54" s="1514">
        <v>6</v>
      </c>
      <c r="H54" s="1515">
        <v>0.375</v>
      </c>
      <c r="I54" s="1513"/>
      <c r="J54" s="1514"/>
      <c r="K54" s="1515"/>
      <c r="L54" s="1516" t="s">
        <v>703</v>
      </c>
      <c r="M54" s="1516" t="s">
        <v>1397</v>
      </c>
      <c r="N54" s="1689" t="s">
        <v>116</v>
      </c>
      <c r="O54" s="1644"/>
      <c r="P54" s="245" t="b">
        <f t="shared" si="3"/>
        <v>0</v>
      </c>
      <c r="R54" s="245" t="b">
        <f t="shared" si="1"/>
        <v>0</v>
      </c>
      <c r="AO54" s="238" t="str">
        <f t="shared" si="2"/>
        <v>SG2</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6684</v>
      </c>
      <c r="G55" s="1523">
        <v>12</v>
      </c>
      <c r="H55" s="1524">
        <v>3.125</v>
      </c>
      <c r="I55" s="1522"/>
      <c r="J55" s="1523"/>
      <c r="K55" s="1524"/>
      <c r="L55" s="1525" t="s">
        <v>703</v>
      </c>
      <c r="M55" s="1525" t="s">
        <v>1397</v>
      </c>
      <c r="N55" s="1690"/>
      <c r="O55" s="1644"/>
      <c r="P55" s="245" t="b">
        <f t="shared" si="3"/>
        <v>0</v>
      </c>
      <c r="R55" s="245" t="b">
        <f t="shared" si="1"/>
        <v>0</v>
      </c>
      <c r="AO55" s="238" t="str">
        <f t="shared" si="2"/>
        <v>SG2</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9" priority="4" stopIfTrue="1">
      <formula>AND($B14="NU",F14&lt;0)</formula>
    </cfRule>
  </conditionalFormatting>
  <conditionalFormatting sqref="B14:B55">
    <cfRule type="expression" dxfId="118" priority="5" stopIfTrue="1">
      <formula>OR(AND($B14="NU",F14&lt;0),AND($B14="NU",I14&lt;0))</formula>
    </cfRule>
  </conditionalFormatting>
  <conditionalFormatting sqref="G14:H55 J14:L55">
    <cfRule type="expression" dxfId="117" priority="6" stopIfTrue="1">
      <formula>$R14</formula>
    </cfRule>
  </conditionalFormatting>
  <conditionalFormatting sqref="I2:K4">
    <cfRule type="cellIs" dxfId="116" priority="7" stopIfTrue="1" operator="equal">
      <formula>""</formula>
    </cfRule>
  </conditionalFormatting>
  <conditionalFormatting sqref="I14:I55">
    <cfRule type="expression" dxfId="115" priority="8" stopIfTrue="1">
      <formula>OR($R14,$B14="CZ",AND($B14="NU",I14&lt;0))</formula>
    </cfRule>
  </conditionalFormatting>
  <conditionalFormatting sqref="A14:A55">
    <cfRule type="expression" dxfId="114" priority="3">
      <formula>NOT($P14)</formula>
    </cfRule>
  </conditionalFormatting>
  <conditionalFormatting sqref="B14:D55">
    <cfRule type="expression" dxfId="1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12" priority="9">
      <formula>AND(NOT($P14),$T$1)</formula>
    </cfRule>
    <cfRule type="expression" dxfId="111" priority="10">
      <formula>AND($AP14,$S$1="M")</formula>
    </cfRule>
  </conditionalFormatting>
  <conditionalFormatting sqref="L14:L55">
    <cfRule type="expression" dxfId="1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D0F9CEF-8CEC-4487-BA84-25DE49BCB4DD}">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FE5A42BF-44A9-4DBE-9DFF-9A6804E83AB8}">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B15FD90-9FE5-46A1-AF4E-037B4949683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35F2F71-C317-4C57-8772-3C734306A6E2}">
      <formula1>IF($CA$14,$CA$16:$CA$21,$CB$16:$CB$19)</formula1>
    </dataValidation>
    <dataValidation type="list" allowBlank="1" showErrorMessage="1" errorTitle="Invalid Type" error="You MUST select a Type from the dropdown list provided._x000a__x000a_Also, make sure your Cap Lock is turned on." sqref="B14:B55" xr:uid="{2AFDE8F8-770F-49CC-A8CA-C0828C67AD16}">
      <formula1>$BF$15:$BU$15</formula1>
    </dataValidation>
    <dataValidation allowBlank="1" showInputMessage="1" errorTitle="Invalid Load Case" error="You MUST use a Load Case from the list provided." sqref="M14:M55" xr:uid="{598DFBF7-A24C-45CF-BDFD-A29BED2F785A}"/>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406A-B709-4A07-9466-D8911AC4C639}">
  <sheetPr codeName="Sheet45">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6684</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6684</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6684</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6684</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6684</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167</v>
      </c>
      <c r="D20" s="1511" t="s">
        <v>145</v>
      </c>
      <c r="E20" s="1512"/>
      <c r="F20" s="1513">
        <v>1213</v>
      </c>
      <c r="G20" s="1514">
        <v>6</v>
      </c>
      <c r="H20" s="1515">
        <v>0.375</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167</v>
      </c>
      <c r="D21" s="1511" t="s">
        <v>145</v>
      </c>
      <c r="E21" s="1512"/>
      <c r="F21" s="1513">
        <v>1213</v>
      </c>
      <c r="G21" s="1514">
        <v>12</v>
      </c>
      <c r="H21" s="1515">
        <v>3.125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167</v>
      </c>
      <c r="D22" s="1511" t="s">
        <v>145</v>
      </c>
      <c r="E22" s="1512"/>
      <c r="F22" s="1513">
        <v>1213</v>
      </c>
      <c r="G22" s="1514">
        <v>18</v>
      </c>
      <c r="H22" s="1515">
        <v>5.875</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167</v>
      </c>
      <c r="D23" s="1511" t="s">
        <v>145</v>
      </c>
      <c r="E23" s="1512"/>
      <c r="F23" s="1513">
        <v>1213</v>
      </c>
      <c r="G23" s="1514">
        <v>24</v>
      </c>
      <c r="H23" s="1515">
        <v>8.625</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1213</v>
      </c>
      <c r="G24" s="1514">
        <v>30</v>
      </c>
      <c r="H24" s="1515">
        <v>11.375</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1213</v>
      </c>
      <c r="G25" s="1514">
        <v>37</v>
      </c>
      <c r="H25" s="1515">
        <v>2.1249999999999991</v>
      </c>
      <c r="I25" s="1513"/>
      <c r="J25" s="1514"/>
      <c r="K25" s="1515"/>
      <c r="L25" s="1516" t="s">
        <v>703</v>
      </c>
      <c r="M25" s="1517" t="s">
        <v>1397</v>
      </c>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167</v>
      </c>
      <c r="D26" s="1511" t="s">
        <v>145</v>
      </c>
      <c r="E26" s="1512"/>
      <c r="F26" s="1513">
        <v>1213</v>
      </c>
      <c r="G26" s="1514">
        <v>43</v>
      </c>
      <c r="H26" s="1515">
        <v>4.875</v>
      </c>
      <c r="I26" s="1513"/>
      <c r="J26" s="1514"/>
      <c r="K26" s="1515"/>
      <c r="L26" s="1516" t="s">
        <v>703</v>
      </c>
      <c r="M26" s="1517" t="s">
        <v>1397</v>
      </c>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1213</v>
      </c>
      <c r="G27" s="1514">
        <v>49</v>
      </c>
      <c r="H27" s="1515">
        <v>7.6250000000000009</v>
      </c>
      <c r="I27" s="1513"/>
      <c r="J27" s="1514"/>
      <c r="K27" s="1515"/>
      <c r="L27" s="1516" t="s">
        <v>703</v>
      </c>
      <c r="M27" s="1517" t="s">
        <v>1397</v>
      </c>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1882</v>
      </c>
      <c r="B28" s="1511" t="s">
        <v>148</v>
      </c>
      <c r="C28" s="1511" t="s">
        <v>165</v>
      </c>
      <c r="D28" s="1511" t="s">
        <v>145</v>
      </c>
      <c r="E28" s="1512"/>
      <c r="F28" s="1513">
        <v>6684</v>
      </c>
      <c r="G28" s="1514">
        <v>6</v>
      </c>
      <c r="H28" s="1515">
        <v>0.375</v>
      </c>
      <c r="I28" s="1513"/>
      <c r="J28" s="1514"/>
      <c r="K28" s="1515"/>
      <c r="L28" s="1516" t="s">
        <v>703</v>
      </c>
      <c r="M28" s="1517" t="s">
        <v>1397</v>
      </c>
      <c r="N28" s="1689"/>
      <c r="O28" s="1644"/>
      <c r="P28" s="245" t="b">
        <f t="shared" si="3"/>
        <v>0</v>
      </c>
      <c r="R28" s="245" t="b">
        <f t="shared" si="1"/>
        <v>0</v>
      </c>
      <c r="AO28" s="238" t="str">
        <f t="shared" si="2"/>
        <v>SG3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6684</v>
      </c>
      <c r="G29" s="1514">
        <v>12</v>
      </c>
      <c r="H29" s="1515">
        <v>3.125</v>
      </c>
      <c r="I29" s="1513"/>
      <c r="J29" s="1514"/>
      <c r="K29" s="1515"/>
      <c r="L29" s="1516" t="s">
        <v>703</v>
      </c>
      <c r="M29" s="1517" t="s">
        <v>1397</v>
      </c>
      <c r="N29" s="1689"/>
      <c r="O29" s="1644"/>
      <c r="P29" s="245" t="b">
        <f t="shared" si="3"/>
        <v>0</v>
      </c>
      <c r="R29" s="245" t="b">
        <f t="shared" si="1"/>
        <v>0</v>
      </c>
      <c r="AO29" s="238" t="str">
        <f t="shared" si="2"/>
        <v>SG3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6684</v>
      </c>
      <c r="G30" s="1514">
        <v>18</v>
      </c>
      <c r="H30" s="1515">
        <v>5.875</v>
      </c>
      <c r="I30" s="1513"/>
      <c r="J30" s="1514"/>
      <c r="K30" s="1515"/>
      <c r="L30" s="1516" t="s">
        <v>703</v>
      </c>
      <c r="M30" s="1517" t="s">
        <v>1397</v>
      </c>
      <c r="N30" s="1689" t="s">
        <v>116</v>
      </c>
      <c r="O30" s="1644"/>
      <c r="P30" s="245" t="b">
        <f t="shared" si="3"/>
        <v>0</v>
      </c>
      <c r="R30" s="245" t="b">
        <f t="shared" si="1"/>
        <v>0</v>
      </c>
      <c r="AO30" s="238" t="str">
        <f t="shared" si="2"/>
        <v>SG3</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6684</v>
      </c>
      <c r="G31" s="1514">
        <v>24</v>
      </c>
      <c r="H31" s="1515">
        <v>8.625</v>
      </c>
      <c r="I31" s="1513"/>
      <c r="J31" s="1514"/>
      <c r="K31" s="1515"/>
      <c r="L31" s="1516" t="s">
        <v>703</v>
      </c>
      <c r="M31" s="1516" t="s">
        <v>1397</v>
      </c>
      <c r="N31" s="1689" t="s">
        <v>116</v>
      </c>
      <c r="O31" s="1644"/>
      <c r="P31" s="245" t="b">
        <f t="shared" si="3"/>
        <v>0</v>
      </c>
      <c r="R31" s="245" t="b">
        <f t="shared" si="1"/>
        <v>0</v>
      </c>
      <c r="AO31" s="238" t="str">
        <f t="shared" si="2"/>
        <v>SG3</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6684</v>
      </c>
      <c r="G32" s="1514">
        <v>30</v>
      </c>
      <c r="H32" s="1515">
        <v>11.375</v>
      </c>
      <c r="I32" s="1513"/>
      <c r="J32" s="1514"/>
      <c r="K32" s="1515"/>
      <c r="L32" s="1516" t="s">
        <v>703</v>
      </c>
      <c r="M32" s="1516" t="s">
        <v>1397</v>
      </c>
      <c r="N32" s="1689" t="s">
        <v>116</v>
      </c>
      <c r="O32" s="1644"/>
      <c r="P32" s="245" t="b">
        <f t="shared" si="3"/>
        <v>0</v>
      </c>
      <c r="R32" s="245" t="b">
        <f t="shared" si="1"/>
        <v>0</v>
      </c>
      <c r="AO32" s="238" t="str">
        <f t="shared" si="2"/>
        <v>SG3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6684</v>
      </c>
      <c r="G33" s="1514">
        <v>37</v>
      </c>
      <c r="H33" s="1515">
        <v>2.1249999999999991</v>
      </c>
      <c r="I33" s="1513"/>
      <c r="J33" s="1514"/>
      <c r="K33" s="1515"/>
      <c r="L33" s="1516" t="s">
        <v>703</v>
      </c>
      <c r="M33" s="1516" t="s">
        <v>1397</v>
      </c>
      <c r="N33" s="1689" t="s">
        <v>116</v>
      </c>
      <c r="O33" s="1644"/>
      <c r="P33" s="245" t="b">
        <f t="shared" si="3"/>
        <v>0</v>
      </c>
      <c r="R33" s="245" t="b">
        <f t="shared" si="1"/>
        <v>0</v>
      </c>
      <c r="AO33" s="238" t="str">
        <f t="shared" si="2"/>
        <v>SG3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6684</v>
      </c>
      <c r="G34" s="1514">
        <v>43</v>
      </c>
      <c r="H34" s="1515">
        <v>4.875</v>
      </c>
      <c r="I34" s="1513"/>
      <c r="J34" s="1514"/>
      <c r="K34" s="1515"/>
      <c r="L34" s="1516" t="s">
        <v>703</v>
      </c>
      <c r="M34" s="1516" t="s">
        <v>1397</v>
      </c>
      <c r="N34" s="1689" t="s">
        <v>116</v>
      </c>
      <c r="O34" s="1644"/>
      <c r="P34" s="245" t="b">
        <f t="shared" si="3"/>
        <v>0</v>
      </c>
      <c r="R34" s="245" t="b">
        <f t="shared" si="1"/>
        <v>0</v>
      </c>
      <c r="AO34" s="238" t="str">
        <f t="shared" si="2"/>
        <v>SG3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6684</v>
      </c>
      <c r="G35" s="1514">
        <v>49</v>
      </c>
      <c r="H35" s="1515">
        <v>7.6250000000000009</v>
      </c>
      <c r="I35" s="1513"/>
      <c r="J35" s="1514"/>
      <c r="K35" s="1515"/>
      <c r="L35" s="1516" t="s">
        <v>703</v>
      </c>
      <c r="M35" s="1516" t="s">
        <v>1397</v>
      </c>
      <c r="N35" s="1689" t="s">
        <v>116</v>
      </c>
      <c r="O35" s="1644"/>
      <c r="P35" s="245" t="b">
        <f t="shared" si="3"/>
        <v>0</v>
      </c>
      <c r="R35" s="245" t="b">
        <f t="shared" si="1"/>
        <v>0</v>
      </c>
      <c r="AO35" s="238" t="str">
        <f t="shared" si="2"/>
        <v>SG3</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1213</v>
      </c>
      <c r="G36" s="1514">
        <v>6</v>
      </c>
      <c r="H36" s="1515">
        <v>0.375</v>
      </c>
      <c r="I36" s="1513"/>
      <c r="J36" s="1514"/>
      <c r="K36" s="1515"/>
      <c r="L36" s="1516" t="s">
        <v>703</v>
      </c>
      <c r="M36" s="1516" t="s">
        <v>1397</v>
      </c>
      <c r="N36" s="1689" t="s">
        <v>116</v>
      </c>
      <c r="O36" s="1644"/>
      <c r="P36" s="245" t="b">
        <f t="shared" si="3"/>
        <v>0</v>
      </c>
      <c r="R36" s="245" t="b">
        <f t="shared" si="1"/>
        <v>0</v>
      </c>
      <c r="AO36" s="238" t="str">
        <f t="shared" si="2"/>
        <v>SG3</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1213</v>
      </c>
      <c r="G37" s="1514">
        <v>12</v>
      </c>
      <c r="H37" s="1515">
        <v>3.125</v>
      </c>
      <c r="I37" s="1513"/>
      <c r="J37" s="1514"/>
      <c r="K37" s="1515"/>
      <c r="L37" s="1516" t="s">
        <v>703</v>
      </c>
      <c r="M37" s="1516" t="s">
        <v>1397</v>
      </c>
      <c r="N37" s="1689" t="s">
        <v>116</v>
      </c>
      <c r="O37" s="1644"/>
      <c r="P37" s="245" t="b">
        <f t="shared" si="3"/>
        <v>0</v>
      </c>
      <c r="R37" s="245" t="b">
        <f t="shared" si="1"/>
        <v>0</v>
      </c>
      <c r="AO37" s="238" t="str">
        <f t="shared" si="2"/>
        <v>SG3</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167</v>
      </c>
      <c r="D38" s="1511" t="s">
        <v>145</v>
      </c>
      <c r="E38" s="1512"/>
      <c r="F38" s="1513">
        <v>1213</v>
      </c>
      <c r="G38" s="1514">
        <v>18</v>
      </c>
      <c r="H38" s="1515">
        <v>5.875</v>
      </c>
      <c r="I38" s="1513"/>
      <c r="J38" s="1514"/>
      <c r="K38" s="1515"/>
      <c r="L38" s="1516" t="s">
        <v>703</v>
      </c>
      <c r="M38" s="1516" t="s">
        <v>1397</v>
      </c>
      <c r="N38" s="1689" t="s">
        <v>116</v>
      </c>
      <c r="O38" s="1644"/>
      <c r="P38" s="245" t="b">
        <f t="shared" si="3"/>
        <v>0</v>
      </c>
      <c r="R38" s="245" t="b">
        <f t="shared" si="1"/>
        <v>0</v>
      </c>
      <c r="AO38" s="238" t="str">
        <f t="shared" si="2"/>
        <v>SG3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167</v>
      </c>
      <c r="D39" s="1511" t="s">
        <v>145</v>
      </c>
      <c r="E39" s="1512"/>
      <c r="F39" s="1513">
        <v>1213</v>
      </c>
      <c r="G39" s="1514">
        <v>24</v>
      </c>
      <c r="H39" s="1515">
        <v>8.625</v>
      </c>
      <c r="I39" s="1513"/>
      <c r="J39" s="1514"/>
      <c r="K39" s="1515"/>
      <c r="L39" s="1516" t="s">
        <v>703</v>
      </c>
      <c r="M39" s="1516" t="s">
        <v>1397</v>
      </c>
      <c r="N39" s="1689" t="s">
        <v>116</v>
      </c>
      <c r="O39" s="1644"/>
      <c r="P39" s="245" t="b">
        <f t="shared" si="3"/>
        <v>0</v>
      </c>
      <c r="R39" s="245" t="b">
        <f t="shared" si="1"/>
        <v>0</v>
      </c>
      <c r="AO39" s="238" t="str">
        <f t="shared" si="2"/>
        <v>SG3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167</v>
      </c>
      <c r="D40" s="1511" t="s">
        <v>145</v>
      </c>
      <c r="E40" s="1512"/>
      <c r="F40" s="1513">
        <v>1213</v>
      </c>
      <c r="G40" s="1514">
        <v>30</v>
      </c>
      <c r="H40" s="1515">
        <v>11.375</v>
      </c>
      <c r="I40" s="1513"/>
      <c r="J40" s="1514"/>
      <c r="K40" s="1515"/>
      <c r="L40" s="1516" t="s">
        <v>703</v>
      </c>
      <c r="M40" s="1516" t="s">
        <v>1397</v>
      </c>
      <c r="N40" s="1689" t="s">
        <v>116</v>
      </c>
      <c r="O40" s="1644"/>
      <c r="P40" s="245" t="b">
        <f t="shared" si="3"/>
        <v>0</v>
      </c>
      <c r="R40" s="245" t="b">
        <f t="shared" si="1"/>
        <v>0</v>
      </c>
      <c r="AO40" s="238" t="str">
        <f t="shared" si="2"/>
        <v>SG3</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167</v>
      </c>
      <c r="D41" s="1511" t="s">
        <v>145</v>
      </c>
      <c r="E41" s="1512"/>
      <c r="F41" s="1513">
        <v>1213</v>
      </c>
      <c r="G41" s="1514">
        <v>37</v>
      </c>
      <c r="H41" s="1515">
        <v>2.1249999999999991</v>
      </c>
      <c r="I41" s="1513"/>
      <c r="J41" s="1514"/>
      <c r="K41" s="1515"/>
      <c r="L41" s="1516" t="s">
        <v>703</v>
      </c>
      <c r="M41" s="1516" t="s">
        <v>1397</v>
      </c>
      <c r="N41" s="1689" t="s">
        <v>116</v>
      </c>
      <c r="O41" s="1644"/>
      <c r="P41" s="245" t="b">
        <f t="shared" si="3"/>
        <v>0</v>
      </c>
      <c r="R41" s="245" t="b">
        <f t="shared" si="1"/>
        <v>0</v>
      </c>
      <c r="AO41" s="238" t="str">
        <f t="shared" si="2"/>
        <v>SG3</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167</v>
      </c>
      <c r="D42" s="1511" t="s">
        <v>145</v>
      </c>
      <c r="E42" s="1512"/>
      <c r="F42" s="1513">
        <v>1213</v>
      </c>
      <c r="G42" s="1514">
        <v>43</v>
      </c>
      <c r="H42" s="1515">
        <v>4.875</v>
      </c>
      <c r="I42" s="1513"/>
      <c r="J42" s="1514"/>
      <c r="K42" s="1515"/>
      <c r="L42" s="1516" t="s">
        <v>703</v>
      </c>
      <c r="M42" s="1516" t="s">
        <v>1397</v>
      </c>
      <c r="N42" s="1689" t="s">
        <v>116</v>
      </c>
      <c r="O42" s="1644"/>
      <c r="P42" s="245" t="b">
        <f t="shared" si="3"/>
        <v>0</v>
      </c>
      <c r="R42" s="245" t="b">
        <f t="shared" si="1"/>
        <v>0</v>
      </c>
      <c r="AO42" s="238" t="str">
        <f t="shared" si="2"/>
        <v>SG3</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167</v>
      </c>
      <c r="D43" s="1511" t="s">
        <v>145</v>
      </c>
      <c r="E43" s="1512"/>
      <c r="F43" s="1513">
        <v>1213</v>
      </c>
      <c r="G43" s="1514">
        <v>49</v>
      </c>
      <c r="H43" s="1515">
        <v>7.6250000000000009</v>
      </c>
      <c r="I43" s="1513"/>
      <c r="J43" s="1514"/>
      <c r="K43" s="1515"/>
      <c r="L43" s="1516" t="s">
        <v>703</v>
      </c>
      <c r="M43" s="1516" t="s">
        <v>1397</v>
      </c>
      <c r="N43" s="1689" t="s">
        <v>116</v>
      </c>
      <c r="O43" s="1644"/>
      <c r="P43" s="245" t="b">
        <f t="shared" si="3"/>
        <v>0</v>
      </c>
      <c r="R43" s="245" t="b">
        <f t="shared" si="1"/>
        <v>0</v>
      </c>
      <c r="AO43" s="238" t="str">
        <f t="shared" si="2"/>
        <v>SG3</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1883</v>
      </c>
      <c r="B44" s="1511" t="s">
        <v>154</v>
      </c>
      <c r="C44" s="1511" t="s">
        <v>165</v>
      </c>
      <c r="D44" s="1511" t="s">
        <v>145</v>
      </c>
      <c r="E44" s="1512"/>
      <c r="F44" s="1513">
        <v>1100</v>
      </c>
      <c r="G44" s="1514"/>
      <c r="H44" s="1515"/>
      <c r="I44" s="1513"/>
      <c r="J44" s="1514"/>
      <c r="K44" s="1515"/>
      <c r="L44" s="1516" t="s">
        <v>116</v>
      </c>
      <c r="M44" s="1516" t="s">
        <v>1397</v>
      </c>
      <c r="N44" s="1689" t="s">
        <v>116</v>
      </c>
      <c r="O44" s="1644"/>
      <c r="P44" s="245" t="b">
        <f t="shared" si="3"/>
        <v>0</v>
      </c>
      <c r="R44" s="245" t="b">
        <f t="shared" si="1"/>
        <v>1</v>
      </c>
      <c r="AO44" s="238" t="str">
        <f t="shared" si="2"/>
        <v>SG4</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1320</v>
      </c>
      <c r="G45" s="1514">
        <v>43</v>
      </c>
      <c r="H45" s="1515">
        <v>6.875</v>
      </c>
      <c r="I45" s="1513">
        <v>1320</v>
      </c>
      <c r="J45" s="1514">
        <v>49</v>
      </c>
      <c r="K45" s="1515">
        <v>9.625</v>
      </c>
      <c r="L45" s="1516" t="s">
        <v>700</v>
      </c>
      <c r="M45" s="1516" t="s">
        <v>1397</v>
      </c>
      <c r="N45" s="1689" t="s">
        <v>116</v>
      </c>
      <c r="O45" s="1644"/>
      <c r="P45" s="245" t="b">
        <f t="shared" si="3"/>
        <v>0</v>
      </c>
      <c r="R45" s="245" t="b">
        <f t="shared" si="1"/>
        <v>0</v>
      </c>
      <c r="AO45" s="238" t="str">
        <f t="shared" si="2"/>
        <v>SG4</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6684</v>
      </c>
      <c r="G46" s="1514">
        <v>6</v>
      </c>
      <c r="H46" s="1515">
        <v>0.375</v>
      </c>
      <c r="I46" s="1513"/>
      <c r="J46" s="1514"/>
      <c r="K46" s="1515"/>
      <c r="L46" s="1516" t="s">
        <v>703</v>
      </c>
      <c r="M46" s="1516" t="s">
        <v>1397</v>
      </c>
      <c r="N46" s="1689" t="s">
        <v>116</v>
      </c>
      <c r="O46" s="1644"/>
      <c r="P46" s="245" t="b">
        <f t="shared" si="3"/>
        <v>0</v>
      </c>
      <c r="R46" s="245" t="b">
        <f t="shared" si="1"/>
        <v>0</v>
      </c>
      <c r="AO46" s="238" t="str">
        <f t="shared" si="2"/>
        <v>SG4</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6684</v>
      </c>
      <c r="G47" s="1514">
        <v>12</v>
      </c>
      <c r="H47" s="1515">
        <v>3.125</v>
      </c>
      <c r="I47" s="1513"/>
      <c r="J47" s="1514"/>
      <c r="K47" s="1515"/>
      <c r="L47" s="1516" t="s">
        <v>703</v>
      </c>
      <c r="M47" s="1516" t="s">
        <v>1397</v>
      </c>
      <c r="N47" s="1689" t="s">
        <v>116</v>
      </c>
      <c r="O47" s="1644"/>
      <c r="P47" s="245" t="b">
        <f t="shared" si="3"/>
        <v>0</v>
      </c>
      <c r="R47" s="245" t="b">
        <f t="shared" si="1"/>
        <v>0</v>
      </c>
      <c r="AO47" s="238" t="str">
        <f t="shared" si="2"/>
        <v>SG4</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6684</v>
      </c>
      <c r="G48" s="1514">
        <v>18</v>
      </c>
      <c r="H48" s="1515">
        <v>5.875</v>
      </c>
      <c r="I48" s="1513"/>
      <c r="J48" s="1514"/>
      <c r="K48" s="1515"/>
      <c r="L48" s="1516" t="s">
        <v>703</v>
      </c>
      <c r="M48" s="1516" t="s">
        <v>1397</v>
      </c>
      <c r="N48" s="1689" t="s">
        <v>116</v>
      </c>
      <c r="O48" s="1644"/>
      <c r="P48" s="245" t="b">
        <f t="shared" si="3"/>
        <v>0</v>
      </c>
      <c r="R48" s="245" t="b">
        <f t="shared" si="1"/>
        <v>0</v>
      </c>
      <c r="AO48" s="238" t="str">
        <f t="shared" si="2"/>
        <v>SG4</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6684</v>
      </c>
      <c r="G49" s="1514">
        <v>24</v>
      </c>
      <c r="H49" s="1515">
        <v>8.625</v>
      </c>
      <c r="I49" s="1513"/>
      <c r="J49" s="1514"/>
      <c r="K49" s="1515"/>
      <c r="L49" s="1516" t="s">
        <v>703</v>
      </c>
      <c r="M49" s="1516" t="s">
        <v>1397</v>
      </c>
      <c r="N49" s="1689" t="s">
        <v>116</v>
      </c>
      <c r="O49" s="1644"/>
      <c r="P49" s="245" t="b">
        <f t="shared" si="3"/>
        <v>0</v>
      </c>
      <c r="R49" s="245" t="b">
        <f t="shared" si="1"/>
        <v>0</v>
      </c>
      <c r="AO49" s="238" t="str">
        <f t="shared" si="2"/>
        <v>SG4</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6684</v>
      </c>
      <c r="G50" s="1514">
        <v>30</v>
      </c>
      <c r="H50" s="1515">
        <v>11.375</v>
      </c>
      <c r="I50" s="1513"/>
      <c r="J50" s="1514"/>
      <c r="K50" s="1515"/>
      <c r="L50" s="1516" t="s">
        <v>703</v>
      </c>
      <c r="M50" s="1516" t="s">
        <v>1397</v>
      </c>
      <c r="N50" s="1689" t="s">
        <v>116</v>
      </c>
      <c r="O50" s="1644"/>
      <c r="P50" s="245" t="b">
        <f t="shared" si="3"/>
        <v>0</v>
      </c>
      <c r="R50" s="245" t="b">
        <f t="shared" si="1"/>
        <v>0</v>
      </c>
      <c r="AO50" s="238" t="str">
        <f t="shared" si="2"/>
        <v>SG4</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6684</v>
      </c>
      <c r="G51" s="1514">
        <v>37</v>
      </c>
      <c r="H51" s="1515">
        <v>2.1249999999999991</v>
      </c>
      <c r="I51" s="1513"/>
      <c r="J51" s="1514"/>
      <c r="K51" s="1515"/>
      <c r="L51" s="1516" t="s">
        <v>703</v>
      </c>
      <c r="M51" s="1516" t="s">
        <v>1397</v>
      </c>
      <c r="N51" s="1689" t="s">
        <v>116</v>
      </c>
      <c r="O51" s="1644"/>
      <c r="P51" s="245" t="b">
        <f t="shared" si="3"/>
        <v>0</v>
      </c>
      <c r="R51" s="245" t="b">
        <f t="shared" si="1"/>
        <v>0</v>
      </c>
      <c r="AO51" s="238" t="str">
        <f t="shared" si="2"/>
        <v>SG4</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6684</v>
      </c>
      <c r="G52" s="1514">
        <v>43</v>
      </c>
      <c r="H52" s="1515">
        <v>4.875</v>
      </c>
      <c r="I52" s="1513"/>
      <c r="J52" s="1514"/>
      <c r="K52" s="1515"/>
      <c r="L52" s="1516" t="s">
        <v>703</v>
      </c>
      <c r="M52" s="1516" t="s">
        <v>1397</v>
      </c>
      <c r="N52" s="1689" t="s">
        <v>116</v>
      </c>
      <c r="O52" s="1644"/>
      <c r="P52" s="245" t="b">
        <f t="shared" si="3"/>
        <v>0</v>
      </c>
      <c r="R52" s="245" t="b">
        <f t="shared" si="1"/>
        <v>0</v>
      </c>
      <c r="AO52" s="238" t="str">
        <f t="shared" si="2"/>
        <v>SG4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6684</v>
      </c>
      <c r="G53" s="1514">
        <v>49</v>
      </c>
      <c r="H53" s="1515">
        <v>7.6250000000000009</v>
      </c>
      <c r="I53" s="1513"/>
      <c r="J53" s="1514"/>
      <c r="K53" s="1515"/>
      <c r="L53" s="1516" t="s">
        <v>703</v>
      </c>
      <c r="M53" s="1516" t="s">
        <v>1397</v>
      </c>
      <c r="N53" s="1689" t="s">
        <v>116</v>
      </c>
      <c r="O53" s="1644"/>
      <c r="P53" s="245" t="b">
        <f t="shared" si="3"/>
        <v>0</v>
      </c>
      <c r="R53" s="245" t="b">
        <f t="shared" si="1"/>
        <v>0</v>
      </c>
      <c r="AO53" s="238" t="str">
        <f t="shared" si="2"/>
        <v>SG4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1213</v>
      </c>
      <c r="G54" s="1514">
        <v>6</v>
      </c>
      <c r="H54" s="1515">
        <v>0.375</v>
      </c>
      <c r="I54" s="1513"/>
      <c r="J54" s="1514"/>
      <c r="K54" s="1515"/>
      <c r="L54" s="1516" t="s">
        <v>703</v>
      </c>
      <c r="M54" s="1516" t="s">
        <v>1397</v>
      </c>
      <c r="N54" s="1689" t="s">
        <v>116</v>
      </c>
      <c r="O54" s="1644"/>
      <c r="P54" s="245" t="b">
        <f t="shared" si="3"/>
        <v>0</v>
      </c>
      <c r="R54" s="245" t="b">
        <f t="shared" si="1"/>
        <v>0</v>
      </c>
      <c r="AO54" s="238" t="str">
        <f t="shared" si="2"/>
        <v>SG4</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1213</v>
      </c>
      <c r="G55" s="1523">
        <v>12</v>
      </c>
      <c r="H55" s="1524">
        <v>3.125</v>
      </c>
      <c r="I55" s="1522"/>
      <c r="J55" s="1523"/>
      <c r="K55" s="1524"/>
      <c r="L55" s="1525" t="s">
        <v>703</v>
      </c>
      <c r="M55" s="1525" t="s">
        <v>1397</v>
      </c>
      <c r="N55" s="1690"/>
      <c r="O55" s="1644"/>
      <c r="P55" s="245" t="b">
        <f t="shared" si="3"/>
        <v>0</v>
      </c>
      <c r="R55" s="245" t="b">
        <f t="shared" si="1"/>
        <v>0</v>
      </c>
      <c r="AO55" s="238" t="str">
        <f t="shared" si="2"/>
        <v>SG4</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9" priority="4" stopIfTrue="1">
      <formula>AND($B14="NU",F14&lt;0)</formula>
    </cfRule>
  </conditionalFormatting>
  <conditionalFormatting sqref="B14:B55">
    <cfRule type="expression" dxfId="108" priority="5" stopIfTrue="1">
      <formula>OR(AND($B14="NU",F14&lt;0),AND($B14="NU",I14&lt;0))</formula>
    </cfRule>
  </conditionalFormatting>
  <conditionalFormatting sqref="G14:H55 J14:L55">
    <cfRule type="expression" dxfId="107" priority="6" stopIfTrue="1">
      <formula>$R14</formula>
    </cfRule>
  </conditionalFormatting>
  <conditionalFormatting sqref="I2:K4">
    <cfRule type="cellIs" dxfId="106" priority="7" stopIfTrue="1" operator="equal">
      <formula>""</formula>
    </cfRule>
  </conditionalFormatting>
  <conditionalFormatting sqref="I14:I55">
    <cfRule type="expression" dxfId="105" priority="8" stopIfTrue="1">
      <formula>OR($R14,$B14="CZ",AND($B14="NU",I14&lt;0))</formula>
    </cfRule>
  </conditionalFormatting>
  <conditionalFormatting sqref="A14:A55">
    <cfRule type="expression" dxfId="104" priority="3">
      <formula>NOT($P14)</formula>
    </cfRule>
  </conditionalFormatting>
  <conditionalFormatting sqref="B14:D55">
    <cfRule type="expression" dxfId="10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2" priority="9">
      <formula>AND(NOT($P14),$T$1)</formula>
    </cfRule>
    <cfRule type="expression" dxfId="101" priority="10">
      <formula>AND($AP14,$S$1="M")</formula>
    </cfRule>
  </conditionalFormatting>
  <conditionalFormatting sqref="L14:L55">
    <cfRule type="expression" dxfId="10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CA65F2D-F8E8-459A-87E4-7526FC0ADCA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8A7D06D-4B76-45C4-A9A8-4101A8AC4AD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F5F22631-4FA8-41E4-84E2-4F1F33EBD5A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6DDB97CE-2878-4BD0-AE36-5FCFFD3FA888}">
      <formula1>IF($CA$14,$CA$16:$CA$21,$CB$16:$CB$19)</formula1>
    </dataValidation>
    <dataValidation type="list" allowBlank="1" showErrorMessage="1" errorTitle="Invalid Type" error="You MUST select a Type from the dropdown list provided._x000a__x000a_Also, make sure your Cap Lock is turned on." sqref="B14:B55" xr:uid="{0680627F-0CB5-4ECC-B3ED-44AE555539E8}">
      <formula1>$BF$15:$BU$15</formula1>
    </dataValidation>
    <dataValidation allowBlank="1" showInputMessage="1" errorTitle="Invalid Load Case" error="You MUST use a Load Case from the list provided." sqref="M14:M55" xr:uid="{C53212C0-C3C5-4B10-866E-1A19B2CB119F}"/>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1BEEC-3A44-412B-82D4-5832D8AED75F}">
  <sheetPr codeName="Sheet46">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1213</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167</v>
      </c>
      <c r="D15" s="1511" t="s">
        <v>145</v>
      </c>
      <c r="E15" s="1512"/>
      <c r="F15" s="1513">
        <v>1213</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167</v>
      </c>
      <c r="D16" s="1511" t="s">
        <v>145</v>
      </c>
      <c r="E16" s="1512"/>
      <c r="F16" s="1513">
        <v>1213</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167</v>
      </c>
      <c r="D17" s="1511" t="s">
        <v>145</v>
      </c>
      <c r="E17" s="1512"/>
      <c r="F17" s="1513">
        <v>1213</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167</v>
      </c>
      <c r="D18" s="1511" t="s">
        <v>145</v>
      </c>
      <c r="E18" s="1512"/>
      <c r="F18" s="1513">
        <v>1213</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167</v>
      </c>
      <c r="D19" s="1511" t="s">
        <v>145</v>
      </c>
      <c r="E19" s="1512"/>
      <c r="F19" s="1513">
        <v>1213</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1884</v>
      </c>
      <c r="B20" s="1511" t="s">
        <v>154</v>
      </c>
      <c r="C20" s="1511" t="s">
        <v>165</v>
      </c>
      <c r="D20" s="1511" t="s">
        <v>145</v>
      </c>
      <c r="E20" s="1512"/>
      <c r="F20" s="1513">
        <v>1100</v>
      </c>
      <c r="G20" s="1514"/>
      <c r="H20" s="1515"/>
      <c r="I20" s="1513"/>
      <c r="J20" s="1514"/>
      <c r="K20" s="1515"/>
      <c r="L20" s="1516" t="s">
        <v>116</v>
      </c>
      <c r="M20" s="1517" t="s">
        <v>1397</v>
      </c>
      <c r="N20" s="1518"/>
      <c r="O20" s="1645"/>
      <c r="P20" s="245" t="b">
        <f t="shared" si="3"/>
        <v>0</v>
      </c>
      <c r="R20" s="245" t="b">
        <f t="shared" si="1"/>
        <v>1</v>
      </c>
      <c r="AO20" s="238" t="str">
        <f t="shared" si="2"/>
        <v>SG5</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1320</v>
      </c>
      <c r="G21" s="1514"/>
      <c r="H21" s="1515"/>
      <c r="I21" s="1513"/>
      <c r="J21" s="1514"/>
      <c r="K21" s="1515"/>
      <c r="L21" s="1516" t="s">
        <v>116</v>
      </c>
      <c r="M21" s="1517" t="s">
        <v>1397</v>
      </c>
      <c r="N21" s="1518"/>
      <c r="O21" s="1645"/>
      <c r="P21" s="245" t="b">
        <f t="shared" si="3"/>
        <v>0</v>
      </c>
      <c r="R21" s="245" t="b">
        <f t="shared" si="1"/>
        <v>1</v>
      </c>
      <c r="AO21" s="238" t="str">
        <f t="shared" si="2"/>
        <v>SG5</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153</v>
      </c>
      <c r="C22" s="1511" t="s">
        <v>165</v>
      </c>
      <c r="D22" s="1511" t="s">
        <v>145</v>
      </c>
      <c r="E22" s="1512"/>
      <c r="F22" s="1513">
        <v>16300</v>
      </c>
      <c r="G22" s="1514">
        <v>54</v>
      </c>
      <c r="H22" s="1515">
        <v>8</v>
      </c>
      <c r="I22" s="1513"/>
      <c r="J22" s="1514"/>
      <c r="K22" s="1515"/>
      <c r="L22" s="1516" t="s">
        <v>703</v>
      </c>
      <c r="M22" s="1517" t="s">
        <v>1397</v>
      </c>
      <c r="N22" s="1518"/>
      <c r="O22" s="1645"/>
      <c r="P22" s="245" t="b">
        <f t="shared" si="3"/>
        <v>0</v>
      </c>
      <c r="R22" s="245" t="b">
        <f t="shared" si="1"/>
        <v>0</v>
      </c>
      <c r="AO22" s="238" t="str">
        <f t="shared" si="2"/>
        <v>SG5</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6684</v>
      </c>
      <c r="G23" s="1514">
        <v>6</v>
      </c>
      <c r="H23" s="1515">
        <v>0.375</v>
      </c>
      <c r="I23" s="1513"/>
      <c r="J23" s="1514"/>
      <c r="K23" s="1515"/>
      <c r="L23" s="1516" t="s">
        <v>703</v>
      </c>
      <c r="M23" s="1517" t="s">
        <v>1397</v>
      </c>
      <c r="N23" s="1518"/>
      <c r="O23" s="1645"/>
      <c r="P23" s="245" t="b">
        <f t="shared" si="3"/>
        <v>0</v>
      </c>
      <c r="R23" s="245" t="b">
        <f t="shared" si="1"/>
        <v>0</v>
      </c>
      <c r="AO23" s="238" t="str">
        <f t="shared" si="2"/>
        <v>SG5</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6684</v>
      </c>
      <c r="G24" s="1514">
        <v>12</v>
      </c>
      <c r="H24" s="1515">
        <v>3.125</v>
      </c>
      <c r="I24" s="1513"/>
      <c r="J24" s="1514"/>
      <c r="K24" s="1515"/>
      <c r="L24" s="1516" t="s">
        <v>703</v>
      </c>
      <c r="M24" s="1517" t="s">
        <v>1397</v>
      </c>
      <c r="N24" s="1518"/>
      <c r="O24" s="1645"/>
      <c r="P24" s="245" t="b">
        <f t="shared" si="3"/>
        <v>0</v>
      </c>
      <c r="R24" s="245" t="b">
        <f t="shared" si="1"/>
        <v>0</v>
      </c>
      <c r="AO24" s="238" t="str">
        <f t="shared" si="2"/>
        <v>SG5</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6684</v>
      </c>
      <c r="G25" s="1514">
        <v>18</v>
      </c>
      <c r="H25" s="1515">
        <v>5.875</v>
      </c>
      <c r="I25" s="1513"/>
      <c r="J25" s="1514"/>
      <c r="K25" s="1515"/>
      <c r="L25" s="1516" t="s">
        <v>703</v>
      </c>
      <c r="M25" s="1517" t="s">
        <v>1397</v>
      </c>
      <c r="N25" s="1518"/>
      <c r="O25" s="1645"/>
      <c r="P25" s="245" t="b">
        <f t="shared" si="3"/>
        <v>0</v>
      </c>
      <c r="R25" s="245" t="b">
        <f t="shared" si="1"/>
        <v>0</v>
      </c>
      <c r="AO25" s="238" t="str">
        <f t="shared" si="2"/>
        <v>SG5</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6684</v>
      </c>
      <c r="G26" s="1514">
        <v>24</v>
      </c>
      <c r="H26" s="1515">
        <v>8.625</v>
      </c>
      <c r="I26" s="1513"/>
      <c r="J26" s="1514"/>
      <c r="K26" s="1515"/>
      <c r="L26" s="1516" t="s">
        <v>703</v>
      </c>
      <c r="M26" s="1517" t="s">
        <v>1397</v>
      </c>
      <c r="N26" s="1518"/>
      <c r="O26" s="1645"/>
      <c r="P26" s="245" t="b">
        <f t="shared" si="3"/>
        <v>0</v>
      </c>
      <c r="R26" s="245" t="b">
        <f t="shared" si="1"/>
        <v>0</v>
      </c>
      <c r="AO26" s="238" t="str">
        <f t="shared" si="2"/>
        <v>SG5</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6684</v>
      </c>
      <c r="G27" s="1514">
        <v>30</v>
      </c>
      <c r="H27" s="1515">
        <v>11.375</v>
      </c>
      <c r="I27" s="1513"/>
      <c r="J27" s="1514"/>
      <c r="K27" s="1515"/>
      <c r="L27" s="1516" t="s">
        <v>703</v>
      </c>
      <c r="M27" s="1517" t="s">
        <v>1397</v>
      </c>
      <c r="N27" s="1518"/>
      <c r="O27" s="1645"/>
      <c r="P27" s="245" t="b">
        <f t="shared" si="3"/>
        <v>0</v>
      </c>
      <c r="R27" s="245" t="b">
        <f t="shared" si="1"/>
        <v>0</v>
      </c>
      <c r="AO27" s="238" t="str">
        <f t="shared" si="2"/>
        <v>SG5</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6684</v>
      </c>
      <c r="G28" s="1514">
        <v>37</v>
      </c>
      <c r="H28" s="1515">
        <v>2.1249999999999991</v>
      </c>
      <c r="I28" s="1513"/>
      <c r="J28" s="1514"/>
      <c r="K28" s="1515"/>
      <c r="L28" s="1516" t="s">
        <v>703</v>
      </c>
      <c r="M28" s="1517" t="s">
        <v>1397</v>
      </c>
      <c r="N28" s="1689"/>
      <c r="O28" s="1644"/>
      <c r="P28" s="245" t="b">
        <f t="shared" si="3"/>
        <v>0</v>
      </c>
      <c r="R28" s="245" t="b">
        <f t="shared" si="1"/>
        <v>0</v>
      </c>
      <c r="AO28" s="238" t="str">
        <f t="shared" si="2"/>
        <v>SG5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6684</v>
      </c>
      <c r="G29" s="1514">
        <v>43</v>
      </c>
      <c r="H29" s="1515">
        <v>4.875</v>
      </c>
      <c r="I29" s="1513"/>
      <c r="J29" s="1514"/>
      <c r="K29" s="1515"/>
      <c r="L29" s="1516" t="s">
        <v>703</v>
      </c>
      <c r="M29" s="1517" t="s">
        <v>1397</v>
      </c>
      <c r="N29" s="1689"/>
      <c r="O29" s="1644"/>
      <c r="P29" s="245" t="b">
        <f t="shared" si="3"/>
        <v>0</v>
      </c>
      <c r="R29" s="245" t="b">
        <f t="shared" si="1"/>
        <v>0</v>
      </c>
      <c r="AO29" s="238" t="str">
        <f t="shared" si="2"/>
        <v>SG5</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6684</v>
      </c>
      <c r="G30" s="1514">
        <v>49</v>
      </c>
      <c r="H30" s="1515">
        <v>7.6250000000000009</v>
      </c>
      <c r="I30" s="1513"/>
      <c r="J30" s="1514"/>
      <c r="K30" s="1515"/>
      <c r="L30" s="1516" t="s">
        <v>703</v>
      </c>
      <c r="M30" s="1517" t="s">
        <v>1397</v>
      </c>
      <c r="N30" s="1689" t="s">
        <v>116</v>
      </c>
      <c r="O30" s="1644"/>
      <c r="P30" s="245" t="b">
        <f t="shared" si="3"/>
        <v>0</v>
      </c>
      <c r="R30" s="245" t="b">
        <f t="shared" si="1"/>
        <v>0</v>
      </c>
      <c r="AO30" s="238" t="str">
        <f t="shared" si="2"/>
        <v>SG5</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167</v>
      </c>
      <c r="D31" s="1511" t="s">
        <v>145</v>
      </c>
      <c r="E31" s="1512"/>
      <c r="F31" s="1513">
        <v>1213</v>
      </c>
      <c r="G31" s="1514">
        <v>6</v>
      </c>
      <c r="H31" s="1515">
        <v>0.375</v>
      </c>
      <c r="I31" s="1513"/>
      <c r="J31" s="1514"/>
      <c r="K31" s="1515"/>
      <c r="L31" s="1516" t="s">
        <v>703</v>
      </c>
      <c r="M31" s="1516" t="s">
        <v>1397</v>
      </c>
      <c r="N31" s="1689" t="s">
        <v>116</v>
      </c>
      <c r="O31" s="1644"/>
      <c r="P31" s="245" t="b">
        <f t="shared" si="3"/>
        <v>0</v>
      </c>
      <c r="R31" s="245" t="b">
        <f t="shared" si="1"/>
        <v>0</v>
      </c>
      <c r="AO31" s="238" t="str">
        <f t="shared" si="2"/>
        <v>SG5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167</v>
      </c>
      <c r="D32" s="1511" t="s">
        <v>145</v>
      </c>
      <c r="E32" s="1512"/>
      <c r="F32" s="1513">
        <v>1213</v>
      </c>
      <c r="G32" s="1514">
        <v>12</v>
      </c>
      <c r="H32" s="1515">
        <v>3.125</v>
      </c>
      <c r="I32" s="1513"/>
      <c r="J32" s="1514"/>
      <c r="K32" s="1515"/>
      <c r="L32" s="1516" t="s">
        <v>703</v>
      </c>
      <c r="M32" s="1516" t="s">
        <v>1397</v>
      </c>
      <c r="N32" s="1689" t="s">
        <v>116</v>
      </c>
      <c r="O32" s="1644"/>
      <c r="P32" s="245" t="b">
        <f t="shared" si="3"/>
        <v>0</v>
      </c>
      <c r="R32" s="245" t="b">
        <f t="shared" si="1"/>
        <v>0</v>
      </c>
      <c r="AO32" s="238" t="str">
        <f t="shared" si="2"/>
        <v>SG5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167</v>
      </c>
      <c r="D33" s="1511" t="s">
        <v>145</v>
      </c>
      <c r="E33" s="1512"/>
      <c r="F33" s="1513">
        <v>1213</v>
      </c>
      <c r="G33" s="1514">
        <v>18</v>
      </c>
      <c r="H33" s="1515">
        <v>5.875</v>
      </c>
      <c r="I33" s="1513"/>
      <c r="J33" s="1514"/>
      <c r="K33" s="1515"/>
      <c r="L33" s="1516" t="s">
        <v>703</v>
      </c>
      <c r="M33" s="1516" t="s">
        <v>1397</v>
      </c>
      <c r="N33" s="1689" t="s">
        <v>116</v>
      </c>
      <c r="O33" s="1644"/>
      <c r="P33" s="245" t="b">
        <f t="shared" si="3"/>
        <v>0</v>
      </c>
      <c r="R33" s="245" t="b">
        <f t="shared" si="1"/>
        <v>0</v>
      </c>
      <c r="AO33" s="238" t="str">
        <f t="shared" si="2"/>
        <v>SG5</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167</v>
      </c>
      <c r="D34" s="1511" t="s">
        <v>145</v>
      </c>
      <c r="E34" s="1512"/>
      <c r="F34" s="1513">
        <v>1213</v>
      </c>
      <c r="G34" s="1514">
        <v>24</v>
      </c>
      <c r="H34" s="1515">
        <v>8.625</v>
      </c>
      <c r="I34" s="1513"/>
      <c r="J34" s="1514"/>
      <c r="K34" s="1515"/>
      <c r="L34" s="1516" t="s">
        <v>703</v>
      </c>
      <c r="M34" s="1516" t="s">
        <v>1397</v>
      </c>
      <c r="N34" s="1689" t="s">
        <v>116</v>
      </c>
      <c r="O34" s="1644"/>
      <c r="P34" s="245" t="b">
        <f t="shared" si="3"/>
        <v>0</v>
      </c>
      <c r="R34" s="245" t="b">
        <f t="shared" si="1"/>
        <v>0</v>
      </c>
      <c r="AO34" s="238" t="str">
        <f t="shared" si="2"/>
        <v>SG5</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167</v>
      </c>
      <c r="D35" s="1511" t="s">
        <v>145</v>
      </c>
      <c r="E35" s="1512"/>
      <c r="F35" s="1513">
        <v>1213</v>
      </c>
      <c r="G35" s="1514">
        <v>30</v>
      </c>
      <c r="H35" s="1515">
        <v>11.375</v>
      </c>
      <c r="I35" s="1513"/>
      <c r="J35" s="1514"/>
      <c r="K35" s="1515"/>
      <c r="L35" s="1516" t="s">
        <v>703</v>
      </c>
      <c r="M35" s="1516" t="s">
        <v>1397</v>
      </c>
      <c r="N35" s="1689" t="s">
        <v>116</v>
      </c>
      <c r="O35" s="1644"/>
      <c r="P35" s="245" t="b">
        <f t="shared" si="3"/>
        <v>0</v>
      </c>
      <c r="R35" s="245" t="b">
        <f t="shared" si="1"/>
        <v>0</v>
      </c>
      <c r="AO35" s="238" t="str">
        <f t="shared" si="2"/>
        <v>SG5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1213</v>
      </c>
      <c r="G36" s="1514">
        <v>37</v>
      </c>
      <c r="H36" s="1515">
        <v>2.1249999999999991</v>
      </c>
      <c r="I36" s="1513"/>
      <c r="J36" s="1514"/>
      <c r="K36" s="1515"/>
      <c r="L36" s="1516" t="s">
        <v>703</v>
      </c>
      <c r="M36" s="1516" t="s">
        <v>1397</v>
      </c>
      <c r="N36" s="1689" t="s">
        <v>116</v>
      </c>
      <c r="O36" s="1644"/>
      <c r="P36" s="245" t="b">
        <f t="shared" si="3"/>
        <v>0</v>
      </c>
      <c r="R36" s="245" t="b">
        <f t="shared" si="1"/>
        <v>0</v>
      </c>
      <c r="AO36" s="238" t="str">
        <f t="shared" si="2"/>
        <v>SG5</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1213</v>
      </c>
      <c r="G37" s="1514">
        <v>43</v>
      </c>
      <c r="H37" s="1515">
        <v>4.875</v>
      </c>
      <c r="I37" s="1513"/>
      <c r="J37" s="1514"/>
      <c r="K37" s="1515"/>
      <c r="L37" s="1516" t="s">
        <v>703</v>
      </c>
      <c r="M37" s="1516" t="s">
        <v>1397</v>
      </c>
      <c r="N37" s="1689" t="s">
        <v>116</v>
      </c>
      <c r="O37" s="1644"/>
      <c r="P37" s="245" t="b">
        <f t="shared" si="3"/>
        <v>0</v>
      </c>
      <c r="R37" s="245" t="b">
        <f t="shared" si="1"/>
        <v>0</v>
      </c>
      <c r="AO37" s="238" t="str">
        <f t="shared" si="2"/>
        <v>SG5</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167</v>
      </c>
      <c r="D38" s="1511" t="s">
        <v>145</v>
      </c>
      <c r="E38" s="1512"/>
      <c r="F38" s="1513">
        <v>1213</v>
      </c>
      <c r="G38" s="1514">
        <v>49</v>
      </c>
      <c r="H38" s="1515">
        <v>7.6250000000000009</v>
      </c>
      <c r="I38" s="1513"/>
      <c r="J38" s="1514"/>
      <c r="K38" s="1515"/>
      <c r="L38" s="1516" t="s">
        <v>703</v>
      </c>
      <c r="M38" s="1516" t="s">
        <v>1397</v>
      </c>
      <c r="N38" s="1689" t="s">
        <v>116</v>
      </c>
      <c r="O38" s="1644"/>
      <c r="P38" s="245" t="b">
        <f t="shared" si="3"/>
        <v>0</v>
      </c>
      <c r="R38" s="245" t="b">
        <f t="shared" si="1"/>
        <v>0</v>
      </c>
      <c r="AO38" s="238" t="str">
        <f t="shared" si="2"/>
        <v>SG5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t="s">
        <v>1885</v>
      </c>
      <c r="B39" s="1511" t="s">
        <v>153</v>
      </c>
      <c r="C39" s="1511" t="s">
        <v>165</v>
      </c>
      <c r="D39" s="1511" t="s">
        <v>145</v>
      </c>
      <c r="E39" s="1512"/>
      <c r="F39" s="1513">
        <v>1100</v>
      </c>
      <c r="G39" s="1514">
        <v>6</v>
      </c>
      <c r="H39" s="1515">
        <v>0.375</v>
      </c>
      <c r="I39" s="1513"/>
      <c r="J39" s="1514"/>
      <c r="K39" s="1515"/>
      <c r="L39" s="1516" t="s">
        <v>703</v>
      </c>
      <c r="M39" s="1516" t="s">
        <v>1397</v>
      </c>
      <c r="N39" s="1689" t="s">
        <v>116</v>
      </c>
      <c r="O39" s="1644"/>
      <c r="P39" s="245" t="b">
        <f t="shared" si="3"/>
        <v>0</v>
      </c>
      <c r="R39" s="245" t="b">
        <f t="shared" si="1"/>
        <v>0</v>
      </c>
      <c r="AO39" s="238" t="str">
        <f t="shared" si="2"/>
        <v>SG6</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153</v>
      </c>
      <c r="C40" s="1511" t="s">
        <v>165</v>
      </c>
      <c r="D40" s="1511" t="s">
        <v>145</v>
      </c>
      <c r="E40" s="1512"/>
      <c r="F40" s="1513">
        <v>1000</v>
      </c>
      <c r="G40" s="1514">
        <v>12</v>
      </c>
      <c r="H40" s="1515">
        <v>3.125</v>
      </c>
      <c r="I40" s="1513"/>
      <c r="J40" s="1514"/>
      <c r="K40" s="1515"/>
      <c r="L40" s="1516" t="s">
        <v>703</v>
      </c>
      <c r="M40" s="1516" t="s">
        <v>1397</v>
      </c>
      <c r="N40" s="1689" t="s">
        <v>116</v>
      </c>
      <c r="O40" s="1644"/>
      <c r="P40" s="245" t="b">
        <f t="shared" si="3"/>
        <v>0</v>
      </c>
      <c r="R40" s="245" t="b">
        <f t="shared" si="1"/>
        <v>0</v>
      </c>
      <c r="AO40" s="238" t="str">
        <f t="shared" si="2"/>
        <v>SG6</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153</v>
      </c>
      <c r="C41" s="1511" t="s">
        <v>165</v>
      </c>
      <c r="D41" s="1511" t="s">
        <v>145</v>
      </c>
      <c r="E41" s="1512"/>
      <c r="F41" s="1513">
        <v>500</v>
      </c>
      <c r="G41" s="1514">
        <v>18</v>
      </c>
      <c r="H41" s="1515">
        <v>5.875</v>
      </c>
      <c r="I41" s="1513"/>
      <c r="J41" s="1514"/>
      <c r="K41" s="1515"/>
      <c r="L41" s="1516" t="s">
        <v>703</v>
      </c>
      <c r="M41" s="1516" t="s">
        <v>1397</v>
      </c>
      <c r="N41" s="1689" t="s">
        <v>116</v>
      </c>
      <c r="O41" s="1644"/>
      <c r="P41" s="245" t="b">
        <f t="shared" si="3"/>
        <v>0</v>
      </c>
      <c r="R41" s="245" t="b">
        <f t="shared" si="1"/>
        <v>0</v>
      </c>
      <c r="AO41" s="238" t="str">
        <f t="shared" si="2"/>
        <v>SG6</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153</v>
      </c>
      <c r="C42" s="1511" t="s">
        <v>165</v>
      </c>
      <c r="D42" s="1511" t="s">
        <v>145</v>
      </c>
      <c r="E42" s="1512"/>
      <c r="F42" s="1513">
        <v>900</v>
      </c>
      <c r="G42" s="1514">
        <v>24</v>
      </c>
      <c r="H42" s="1515">
        <v>8.625</v>
      </c>
      <c r="I42" s="1513"/>
      <c r="J42" s="1514"/>
      <c r="K42" s="1515"/>
      <c r="L42" s="1516" t="s">
        <v>703</v>
      </c>
      <c r="M42" s="1516" t="s">
        <v>1397</v>
      </c>
      <c r="N42" s="1689" t="s">
        <v>116</v>
      </c>
      <c r="O42" s="1644"/>
      <c r="P42" s="245" t="b">
        <f t="shared" si="3"/>
        <v>0</v>
      </c>
      <c r="R42" s="245" t="b">
        <f t="shared" si="1"/>
        <v>0</v>
      </c>
      <c r="AO42" s="238" t="str">
        <f t="shared" si="2"/>
        <v>SG6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153</v>
      </c>
      <c r="C43" s="1511" t="s">
        <v>165</v>
      </c>
      <c r="D43" s="1511" t="s">
        <v>145</v>
      </c>
      <c r="E43" s="1512"/>
      <c r="F43" s="1513">
        <v>900</v>
      </c>
      <c r="G43" s="1514">
        <v>30</v>
      </c>
      <c r="H43" s="1515">
        <v>11.375</v>
      </c>
      <c r="I43" s="1513"/>
      <c r="J43" s="1514"/>
      <c r="K43" s="1515"/>
      <c r="L43" s="1516" t="s">
        <v>703</v>
      </c>
      <c r="M43" s="1516" t="s">
        <v>1397</v>
      </c>
      <c r="N43" s="1689" t="s">
        <v>116</v>
      </c>
      <c r="O43" s="1644"/>
      <c r="P43" s="245" t="b">
        <f t="shared" si="3"/>
        <v>0</v>
      </c>
      <c r="R43" s="245" t="b">
        <f t="shared" si="1"/>
        <v>0</v>
      </c>
      <c r="AO43" s="238" t="str">
        <f t="shared" si="2"/>
        <v>SG6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153</v>
      </c>
      <c r="C44" s="1511" t="s">
        <v>165</v>
      </c>
      <c r="D44" s="1511" t="s">
        <v>145</v>
      </c>
      <c r="E44" s="1512"/>
      <c r="F44" s="1513">
        <v>600</v>
      </c>
      <c r="G44" s="1514">
        <v>37</v>
      </c>
      <c r="H44" s="1515">
        <v>2.1249999999999991</v>
      </c>
      <c r="I44" s="1513"/>
      <c r="J44" s="1514"/>
      <c r="K44" s="1515"/>
      <c r="L44" s="1516" t="s">
        <v>703</v>
      </c>
      <c r="M44" s="1516" t="s">
        <v>1397</v>
      </c>
      <c r="N44" s="1689" t="s">
        <v>116</v>
      </c>
      <c r="O44" s="1644"/>
      <c r="P44" s="245" t="b">
        <f t="shared" si="3"/>
        <v>0</v>
      </c>
      <c r="R44" s="245" t="b">
        <f t="shared" si="1"/>
        <v>0</v>
      </c>
      <c r="AO44" s="238" t="str">
        <f t="shared" si="2"/>
        <v>SG6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153</v>
      </c>
      <c r="C45" s="1511" t="s">
        <v>165</v>
      </c>
      <c r="D45" s="1511" t="s">
        <v>145</v>
      </c>
      <c r="E45" s="1512"/>
      <c r="F45" s="1513">
        <v>600</v>
      </c>
      <c r="G45" s="1514">
        <v>43</v>
      </c>
      <c r="H45" s="1515">
        <v>4.875</v>
      </c>
      <c r="I45" s="1513"/>
      <c r="J45" s="1514"/>
      <c r="K45" s="1515"/>
      <c r="L45" s="1516" t="s">
        <v>703</v>
      </c>
      <c r="M45" s="1516" t="s">
        <v>1397</v>
      </c>
      <c r="N45" s="1689" t="s">
        <v>116</v>
      </c>
      <c r="O45" s="1644"/>
      <c r="P45" s="245" t="b">
        <f t="shared" si="3"/>
        <v>0</v>
      </c>
      <c r="R45" s="245" t="b">
        <f t="shared" si="1"/>
        <v>0</v>
      </c>
      <c r="AO45" s="238" t="str">
        <f t="shared" si="2"/>
        <v>SG6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6684</v>
      </c>
      <c r="G46" s="1514">
        <v>6</v>
      </c>
      <c r="H46" s="1515">
        <v>0.375</v>
      </c>
      <c r="I46" s="1513"/>
      <c r="J46" s="1514"/>
      <c r="K46" s="1515"/>
      <c r="L46" s="1516" t="s">
        <v>703</v>
      </c>
      <c r="M46" s="1516" t="s">
        <v>1397</v>
      </c>
      <c r="N46" s="1689" t="s">
        <v>116</v>
      </c>
      <c r="O46" s="1644"/>
      <c r="P46" s="245" t="b">
        <f t="shared" si="3"/>
        <v>0</v>
      </c>
      <c r="R46" s="245" t="b">
        <f t="shared" si="1"/>
        <v>0</v>
      </c>
      <c r="AO46" s="238" t="str">
        <f t="shared" si="2"/>
        <v>SG6</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6684</v>
      </c>
      <c r="G47" s="1514">
        <v>12</v>
      </c>
      <c r="H47" s="1515">
        <v>3.125</v>
      </c>
      <c r="I47" s="1513"/>
      <c r="J47" s="1514"/>
      <c r="K47" s="1515"/>
      <c r="L47" s="1516" t="s">
        <v>703</v>
      </c>
      <c r="M47" s="1516" t="s">
        <v>1397</v>
      </c>
      <c r="N47" s="1689" t="s">
        <v>116</v>
      </c>
      <c r="O47" s="1644"/>
      <c r="P47" s="245" t="b">
        <f t="shared" si="3"/>
        <v>0</v>
      </c>
      <c r="R47" s="245" t="b">
        <f t="shared" si="1"/>
        <v>0</v>
      </c>
      <c r="AO47" s="238" t="str">
        <f t="shared" si="2"/>
        <v>SG6</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6684</v>
      </c>
      <c r="G48" s="1514">
        <v>18</v>
      </c>
      <c r="H48" s="1515">
        <v>5.875</v>
      </c>
      <c r="I48" s="1513"/>
      <c r="J48" s="1514"/>
      <c r="K48" s="1515"/>
      <c r="L48" s="1516" t="s">
        <v>703</v>
      </c>
      <c r="M48" s="1516" t="s">
        <v>1397</v>
      </c>
      <c r="N48" s="1689" t="s">
        <v>116</v>
      </c>
      <c r="O48" s="1644"/>
      <c r="P48" s="245" t="b">
        <f t="shared" si="3"/>
        <v>0</v>
      </c>
      <c r="R48" s="245" t="b">
        <f t="shared" si="1"/>
        <v>0</v>
      </c>
      <c r="AO48" s="238" t="str">
        <f t="shared" si="2"/>
        <v>SG6</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6684</v>
      </c>
      <c r="G49" s="1514">
        <v>24</v>
      </c>
      <c r="H49" s="1515">
        <v>8.625</v>
      </c>
      <c r="I49" s="1513"/>
      <c r="J49" s="1514"/>
      <c r="K49" s="1515"/>
      <c r="L49" s="1516" t="s">
        <v>703</v>
      </c>
      <c r="M49" s="1516" t="s">
        <v>1397</v>
      </c>
      <c r="N49" s="1689" t="s">
        <v>116</v>
      </c>
      <c r="O49" s="1644"/>
      <c r="P49" s="245" t="b">
        <f t="shared" si="3"/>
        <v>0</v>
      </c>
      <c r="R49" s="245" t="b">
        <f t="shared" si="1"/>
        <v>0</v>
      </c>
      <c r="AO49" s="238" t="str">
        <f t="shared" si="2"/>
        <v>SG6</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6684</v>
      </c>
      <c r="G50" s="1514">
        <v>30</v>
      </c>
      <c r="H50" s="1515">
        <v>11.375</v>
      </c>
      <c r="I50" s="1513"/>
      <c r="J50" s="1514"/>
      <c r="K50" s="1515"/>
      <c r="L50" s="1516" t="s">
        <v>703</v>
      </c>
      <c r="M50" s="1516" t="s">
        <v>1397</v>
      </c>
      <c r="N50" s="1689" t="s">
        <v>116</v>
      </c>
      <c r="O50" s="1644"/>
      <c r="P50" s="245" t="b">
        <f t="shared" si="3"/>
        <v>0</v>
      </c>
      <c r="R50" s="245" t="b">
        <f t="shared" si="1"/>
        <v>0</v>
      </c>
      <c r="AO50" s="238" t="str">
        <f t="shared" si="2"/>
        <v>SG6</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6684</v>
      </c>
      <c r="G51" s="1514">
        <v>37</v>
      </c>
      <c r="H51" s="1515">
        <v>2.1249999999999991</v>
      </c>
      <c r="I51" s="1513"/>
      <c r="J51" s="1514"/>
      <c r="K51" s="1515"/>
      <c r="L51" s="1516" t="s">
        <v>703</v>
      </c>
      <c r="M51" s="1516" t="s">
        <v>1397</v>
      </c>
      <c r="N51" s="1689" t="s">
        <v>116</v>
      </c>
      <c r="O51" s="1644"/>
      <c r="P51" s="245" t="b">
        <f t="shared" si="3"/>
        <v>0</v>
      </c>
      <c r="R51" s="245" t="b">
        <f t="shared" si="1"/>
        <v>0</v>
      </c>
      <c r="AO51" s="238" t="str">
        <f t="shared" si="2"/>
        <v>SG6</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6684</v>
      </c>
      <c r="G52" s="1514">
        <v>43</v>
      </c>
      <c r="H52" s="1515">
        <v>4.875</v>
      </c>
      <c r="I52" s="1513"/>
      <c r="J52" s="1514"/>
      <c r="K52" s="1515"/>
      <c r="L52" s="1516" t="s">
        <v>703</v>
      </c>
      <c r="M52" s="1516" t="s">
        <v>1397</v>
      </c>
      <c r="N52" s="1689" t="s">
        <v>116</v>
      </c>
      <c r="O52" s="1644"/>
      <c r="P52" s="245" t="b">
        <f t="shared" si="3"/>
        <v>0</v>
      </c>
      <c r="R52" s="245" t="b">
        <f t="shared" si="1"/>
        <v>0</v>
      </c>
      <c r="AO52" s="238" t="str">
        <f t="shared" si="2"/>
        <v>SG6</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6684</v>
      </c>
      <c r="G53" s="1514">
        <v>49</v>
      </c>
      <c r="H53" s="1515">
        <v>7.6250000000000009</v>
      </c>
      <c r="I53" s="1513"/>
      <c r="J53" s="1514"/>
      <c r="K53" s="1515"/>
      <c r="L53" s="1516" t="s">
        <v>703</v>
      </c>
      <c r="M53" s="1516" t="s">
        <v>1397</v>
      </c>
      <c r="N53" s="1689" t="s">
        <v>116</v>
      </c>
      <c r="O53" s="1644"/>
      <c r="P53" s="245" t="b">
        <f t="shared" si="3"/>
        <v>0</v>
      </c>
      <c r="R53" s="245" t="b">
        <f t="shared" si="1"/>
        <v>0</v>
      </c>
      <c r="AO53" s="238" t="str">
        <f t="shared" si="2"/>
        <v>SG6</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1213</v>
      </c>
      <c r="G54" s="1514">
        <v>6</v>
      </c>
      <c r="H54" s="1515">
        <v>0.375</v>
      </c>
      <c r="I54" s="1513"/>
      <c r="J54" s="1514"/>
      <c r="K54" s="1515"/>
      <c r="L54" s="1516" t="s">
        <v>703</v>
      </c>
      <c r="M54" s="1516" t="s">
        <v>1397</v>
      </c>
      <c r="N54" s="1689" t="s">
        <v>116</v>
      </c>
      <c r="O54" s="1644"/>
      <c r="P54" s="245" t="b">
        <f t="shared" si="3"/>
        <v>0</v>
      </c>
      <c r="R54" s="245" t="b">
        <f t="shared" si="1"/>
        <v>0</v>
      </c>
      <c r="AO54" s="238" t="str">
        <f t="shared" si="2"/>
        <v>SG6</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1213</v>
      </c>
      <c r="G55" s="1523">
        <v>12</v>
      </c>
      <c r="H55" s="1524">
        <v>3.125</v>
      </c>
      <c r="I55" s="1522"/>
      <c r="J55" s="1523"/>
      <c r="K55" s="1524"/>
      <c r="L55" s="1525" t="s">
        <v>703</v>
      </c>
      <c r="M55" s="1525" t="s">
        <v>1397</v>
      </c>
      <c r="N55" s="1690"/>
      <c r="O55" s="1644"/>
      <c r="P55" s="245" t="b">
        <f t="shared" si="3"/>
        <v>0</v>
      </c>
      <c r="R55" s="245" t="b">
        <f t="shared" si="1"/>
        <v>0</v>
      </c>
      <c r="AO55" s="238" t="str">
        <f t="shared" si="2"/>
        <v>SG6</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9" priority="4" stopIfTrue="1">
      <formula>AND($B14="NU",F14&lt;0)</formula>
    </cfRule>
  </conditionalFormatting>
  <conditionalFormatting sqref="B14:B55">
    <cfRule type="expression" dxfId="98" priority="5" stopIfTrue="1">
      <formula>OR(AND($B14="NU",F14&lt;0),AND($B14="NU",I14&lt;0))</formula>
    </cfRule>
  </conditionalFormatting>
  <conditionalFormatting sqref="G14:H55 J14:L55">
    <cfRule type="expression" dxfId="97" priority="6" stopIfTrue="1">
      <formula>$R14</formula>
    </cfRule>
  </conditionalFormatting>
  <conditionalFormatting sqref="I2:K4">
    <cfRule type="cellIs" dxfId="96" priority="7" stopIfTrue="1" operator="equal">
      <formula>""</formula>
    </cfRule>
  </conditionalFormatting>
  <conditionalFormatting sqref="I14:I55">
    <cfRule type="expression" dxfId="95" priority="8" stopIfTrue="1">
      <formula>OR($R14,$B14="CZ",AND($B14="NU",I14&lt;0))</formula>
    </cfRule>
  </conditionalFormatting>
  <conditionalFormatting sqref="A14:A55">
    <cfRule type="expression" dxfId="94" priority="3">
      <formula>NOT($P14)</formula>
    </cfRule>
  </conditionalFormatting>
  <conditionalFormatting sqref="B14:D55">
    <cfRule type="expression" dxfId="9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92" priority="9">
      <formula>AND(NOT($P14),$T$1)</formula>
    </cfRule>
    <cfRule type="expression" dxfId="91" priority="10">
      <formula>AND($AP14,$S$1="M")</formula>
    </cfRule>
  </conditionalFormatting>
  <conditionalFormatting sqref="L14:L55">
    <cfRule type="expression" dxfId="9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7349C36-0ECF-43D7-8FBA-369FE5238532}">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6A24243-B085-4BF7-8BC3-DCDDFC87C469}">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A8BE180-FDB3-422F-B8A6-48D86A238AD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DC8D4545-1C82-4477-A2F8-71B639DFB224}">
      <formula1>IF($CA$14,$CA$16:$CA$21,$CB$16:$CB$19)</formula1>
    </dataValidation>
    <dataValidation type="list" allowBlank="1" showErrorMessage="1" errorTitle="Invalid Type" error="You MUST select a Type from the dropdown list provided._x000a__x000a_Also, make sure your Cap Lock is turned on." sqref="B14:B55" xr:uid="{72ABD953-F9AA-491B-90D8-03CA3D4FD1BE}">
      <formula1>$BF$15:$BU$15</formula1>
    </dataValidation>
    <dataValidation allowBlank="1" showInputMessage="1" errorTitle="Invalid Load Case" error="You MUST use a Load Case from the list provided." sqref="M14:M55" xr:uid="{DBCB93BA-5DF6-491A-BAD0-FA514D44394D}"/>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817A-F18D-487A-B26D-D0CE66C11384}">
  <sheetPr codeName="Sheet47">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1213</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167</v>
      </c>
      <c r="D15" s="1511" t="s">
        <v>145</v>
      </c>
      <c r="E15" s="1512"/>
      <c r="F15" s="1513">
        <v>1213</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167</v>
      </c>
      <c r="D16" s="1511" t="s">
        <v>145</v>
      </c>
      <c r="E16" s="1512"/>
      <c r="F16" s="1513">
        <v>1213</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167</v>
      </c>
      <c r="D17" s="1511" t="s">
        <v>145</v>
      </c>
      <c r="E17" s="1512"/>
      <c r="F17" s="1513">
        <v>1213</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167</v>
      </c>
      <c r="D18" s="1511" t="s">
        <v>145</v>
      </c>
      <c r="E18" s="1512"/>
      <c r="F18" s="1513">
        <v>1213</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167</v>
      </c>
      <c r="D19" s="1511" t="s">
        <v>145</v>
      </c>
      <c r="E19" s="1512"/>
      <c r="F19" s="1513">
        <v>1213</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1886</v>
      </c>
      <c r="B20" s="1511" t="s">
        <v>148</v>
      </c>
      <c r="C20" s="1511" t="s">
        <v>163</v>
      </c>
      <c r="D20" s="1511" t="s">
        <v>145</v>
      </c>
      <c r="E20" s="1512"/>
      <c r="F20" s="1513">
        <v>7700</v>
      </c>
      <c r="G20" s="1514">
        <v>5</v>
      </c>
      <c r="H20" s="1515">
        <v>5.375</v>
      </c>
      <c r="I20" s="1513">
        <v>3000</v>
      </c>
      <c r="J20" s="1514">
        <v>11</v>
      </c>
      <c r="K20" s="1515">
        <v>8.125</v>
      </c>
      <c r="L20" s="1516" t="s">
        <v>702</v>
      </c>
      <c r="M20" s="1517" t="s">
        <v>1397</v>
      </c>
      <c r="N20" s="1518"/>
      <c r="O20" s="1645"/>
      <c r="P20" s="245" t="b">
        <f t="shared" si="3"/>
        <v>0</v>
      </c>
      <c r="R20" s="245" t="b">
        <f t="shared" si="1"/>
        <v>0</v>
      </c>
      <c r="AO20" s="238" t="str">
        <f t="shared" si="2"/>
        <v>SG7</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163</v>
      </c>
      <c r="D21" s="1511" t="s">
        <v>145</v>
      </c>
      <c r="E21" s="1512"/>
      <c r="F21" s="1513">
        <v>200</v>
      </c>
      <c r="G21" s="1514">
        <v>17</v>
      </c>
      <c r="H21" s="1515">
        <v>10.875</v>
      </c>
      <c r="I21" s="1513"/>
      <c r="J21" s="1514"/>
      <c r="K21" s="1515"/>
      <c r="L21" s="1516" t="s">
        <v>702</v>
      </c>
      <c r="M21" s="1517" t="s">
        <v>1397</v>
      </c>
      <c r="N21" s="1518"/>
      <c r="O21" s="1645"/>
      <c r="P21" s="245" t="b">
        <f t="shared" si="3"/>
        <v>0</v>
      </c>
      <c r="R21" s="245" t="b">
        <f t="shared" si="1"/>
        <v>0</v>
      </c>
      <c r="AO21" s="238" t="str">
        <f t="shared" si="2"/>
        <v>SG7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154</v>
      </c>
      <c r="C22" s="1511" t="s">
        <v>165</v>
      </c>
      <c r="D22" s="1511" t="s">
        <v>145</v>
      </c>
      <c r="E22" s="1512"/>
      <c r="F22" s="1513">
        <v>1100</v>
      </c>
      <c r="G22" s="1514"/>
      <c r="H22" s="1515"/>
      <c r="I22" s="1513"/>
      <c r="J22" s="1514"/>
      <c r="K22" s="1515"/>
      <c r="L22" s="1516" t="s">
        <v>116</v>
      </c>
      <c r="M22" s="1517" t="s">
        <v>1397</v>
      </c>
      <c r="N22" s="1518"/>
      <c r="O22" s="1645"/>
      <c r="P22" s="245" t="b">
        <f t="shared" si="3"/>
        <v>0</v>
      </c>
      <c r="R22" s="245" t="b">
        <f t="shared" si="1"/>
        <v>1</v>
      </c>
      <c r="AO22" s="238" t="str">
        <f t="shared" si="2"/>
        <v>SG7</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154</v>
      </c>
      <c r="C23" s="1511" t="s">
        <v>165</v>
      </c>
      <c r="D23" s="1511" t="s">
        <v>145</v>
      </c>
      <c r="E23" s="1512"/>
      <c r="F23" s="1513">
        <v>1320</v>
      </c>
      <c r="G23" s="1514"/>
      <c r="H23" s="1515"/>
      <c r="I23" s="1513"/>
      <c r="J23" s="1514"/>
      <c r="K23" s="1515"/>
      <c r="L23" s="1516" t="s">
        <v>116</v>
      </c>
      <c r="M23" s="1517" t="s">
        <v>1397</v>
      </c>
      <c r="N23" s="1518"/>
      <c r="O23" s="1645"/>
      <c r="P23" s="245" t="b">
        <f t="shared" si="3"/>
        <v>0</v>
      </c>
      <c r="R23" s="245" t="b">
        <f t="shared" si="1"/>
        <v>1</v>
      </c>
      <c r="AO23" s="238" t="str">
        <f t="shared" si="2"/>
        <v>SG7</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6274</v>
      </c>
      <c r="G24" s="1514">
        <v>6</v>
      </c>
      <c r="H24" s="1515">
        <v>0.375</v>
      </c>
      <c r="I24" s="1513"/>
      <c r="J24" s="1514"/>
      <c r="K24" s="1515"/>
      <c r="L24" s="1516" t="s">
        <v>703</v>
      </c>
      <c r="M24" s="1517" t="s">
        <v>1397</v>
      </c>
      <c r="N24" s="1518"/>
      <c r="O24" s="1645"/>
      <c r="P24" s="245" t="b">
        <f t="shared" si="3"/>
        <v>0</v>
      </c>
      <c r="R24" s="245" t="b">
        <f t="shared" si="1"/>
        <v>0</v>
      </c>
      <c r="AO24" s="238" t="str">
        <f t="shared" si="2"/>
        <v>SG7</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6274</v>
      </c>
      <c r="G25" s="1514">
        <v>12</v>
      </c>
      <c r="H25" s="1515">
        <v>3.125</v>
      </c>
      <c r="I25" s="1513"/>
      <c r="J25" s="1514"/>
      <c r="K25" s="1515"/>
      <c r="L25" s="1516" t="s">
        <v>703</v>
      </c>
      <c r="M25" s="1517" t="s">
        <v>1397</v>
      </c>
      <c r="N25" s="1518"/>
      <c r="O25" s="1645"/>
      <c r="P25" s="245" t="b">
        <f t="shared" si="3"/>
        <v>0</v>
      </c>
      <c r="R25" s="245" t="b">
        <f t="shared" si="1"/>
        <v>0</v>
      </c>
      <c r="AO25" s="238" t="str">
        <f t="shared" si="2"/>
        <v>SG7</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6274</v>
      </c>
      <c r="G26" s="1514">
        <v>18</v>
      </c>
      <c r="H26" s="1515">
        <v>5.875</v>
      </c>
      <c r="I26" s="1513"/>
      <c r="J26" s="1514"/>
      <c r="K26" s="1515"/>
      <c r="L26" s="1516" t="s">
        <v>703</v>
      </c>
      <c r="M26" s="1517" t="s">
        <v>1397</v>
      </c>
      <c r="N26" s="1518"/>
      <c r="O26" s="1645"/>
      <c r="P26" s="245" t="b">
        <f t="shared" si="3"/>
        <v>0</v>
      </c>
      <c r="R26" s="245" t="b">
        <f t="shared" si="1"/>
        <v>0</v>
      </c>
      <c r="AO26" s="238" t="str">
        <f t="shared" si="2"/>
        <v>SG7</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6274</v>
      </c>
      <c r="G27" s="1514">
        <v>24</v>
      </c>
      <c r="H27" s="1515">
        <v>8.625</v>
      </c>
      <c r="I27" s="1513"/>
      <c r="J27" s="1514"/>
      <c r="K27" s="1515"/>
      <c r="L27" s="1516" t="s">
        <v>703</v>
      </c>
      <c r="M27" s="1517" t="s">
        <v>1397</v>
      </c>
      <c r="N27" s="1518"/>
      <c r="O27" s="1645"/>
      <c r="P27" s="245" t="b">
        <f t="shared" si="3"/>
        <v>0</v>
      </c>
      <c r="R27" s="245" t="b">
        <f t="shared" si="1"/>
        <v>0</v>
      </c>
      <c r="AO27" s="238" t="str">
        <f t="shared" si="2"/>
        <v>SG7</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6274</v>
      </c>
      <c r="G28" s="1514">
        <v>30</v>
      </c>
      <c r="H28" s="1515">
        <v>11.375</v>
      </c>
      <c r="I28" s="1513"/>
      <c r="J28" s="1514"/>
      <c r="K28" s="1515"/>
      <c r="L28" s="1516" t="s">
        <v>703</v>
      </c>
      <c r="M28" s="1517" t="s">
        <v>1397</v>
      </c>
      <c r="N28" s="1689"/>
      <c r="O28" s="1644"/>
      <c r="P28" s="245" t="b">
        <f t="shared" si="3"/>
        <v>0</v>
      </c>
      <c r="R28" s="245" t="b">
        <f t="shared" si="1"/>
        <v>0</v>
      </c>
      <c r="AO28" s="238" t="str">
        <f t="shared" si="2"/>
        <v>SG7</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6274</v>
      </c>
      <c r="G29" s="1514">
        <v>37</v>
      </c>
      <c r="H29" s="1515">
        <v>2.1249999999999991</v>
      </c>
      <c r="I29" s="1513"/>
      <c r="J29" s="1514"/>
      <c r="K29" s="1515"/>
      <c r="L29" s="1516" t="s">
        <v>703</v>
      </c>
      <c r="M29" s="1517" t="s">
        <v>1397</v>
      </c>
      <c r="N29" s="1689"/>
      <c r="O29" s="1644"/>
      <c r="P29" s="245" t="b">
        <f t="shared" si="3"/>
        <v>0</v>
      </c>
      <c r="R29" s="245" t="b">
        <f t="shared" si="1"/>
        <v>0</v>
      </c>
      <c r="AO29" s="238" t="str">
        <f t="shared" si="2"/>
        <v>SG7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6274</v>
      </c>
      <c r="G30" s="1514">
        <v>43</v>
      </c>
      <c r="H30" s="1515">
        <v>4.875</v>
      </c>
      <c r="I30" s="1513"/>
      <c r="J30" s="1514"/>
      <c r="K30" s="1515"/>
      <c r="L30" s="1516" t="s">
        <v>703</v>
      </c>
      <c r="M30" s="1517" t="s">
        <v>1397</v>
      </c>
      <c r="N30" s="1689" t="s">
        <v>116</v>
      </c>
      <c r="O30" s="1644"/>
      <c r="P30" s="245" t="b">
        <f t="shared" si="3"/>
        <v>0</v>
      </c>
      <c r="R30" s="245" t="b">
        <f t="shared" si="1"/>
        <v>0</v>
      </c>
      <c r="AO30" s="238" t="str">
        <f t="shared" si="2"/>
        <v>SG7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6274</v>
      </c>
      <c r="G31" s="1514">
        <v>49</v>
      </c>
      <c r="H31" s="1515">
        <v>7.6250000000000009</v>
      </c>
      <c r="I31" s="1513"/>
      <c r="J31" s="1514"/>
      <c r="K31" s="1515"/>
      <c r="L31" s="1516" t="s">
        <v>703</v>
      </c>
      <c r="M31" s="1516" t="s">
        <v>1397</v>
      </c>
      <c r="N31" s="1689" t="s">
        <v>116</v>
      </c>
      <c r="O31" s="1644"/>
      <c r="P31" s="245" t="b">
        <f t="shared" si="3"/>
        <v>0</v>
      </c>
      <c r="R31" s="245" t="b">
        <f t="shared" si="1"/>
        <v>0</v>
      </c>
      <c r="AO31" s="238" t="str">
        <f t="shared" si="2"/>
        <v>SG7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167</v>
      </c>
      <c r="D32" s="1511" t="s">
        <v>145</v>
      </c>
      <c r="E32" s="1512"/>
      <c r="F32" s="1513">
        <v>1139</v>
      </c>
      <c r="G32" s="1514">
        <v>6</v>
      </c>
      <c r="H32" s="1515">
        <v>0.375</v>
      </c>
      <c r="I32" s="1513"/>
      <c r="J32" s="1514"/>
      <c r="K32" s="1515"/>
      <c r="L32" s="1516" t="s">
        <v>703</v>
      </c>
      <c r="M32" s="1516" t="s">
        <v>1397</v>
      </c>
      <c r="N32" s="1689" t="s">
        <v>116</v>
      </c>
      <c r="O32" s="1644"/>
      <c r="P32" s="245" t="b">
        <f t="shared" si="3"/>
        <v>0</v>
      </c>
      <c r="R32" s="245" t="b">
        <f t="shared" si="1"/>
        <v>0</v>
      </c>
      <c r="AO32" s="238" t="str">
        <f t="shared" si="2"/>
        <v>SG7</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167</v>
      </c>
      <c r="D33" s="1511" t="s">
        <v>145</v>
      </c>
      <c r="E33" s="1512"/>
      <c r="F33" s="1513">
        <v>1139</v>
      </c>
      <c r="G33" s="1514">
        <v>12</v>
      </c>
      <c r="H33" s="1515">
        <v>3.125</v>
      </c>
      <c r="I33" s="1513"/>
      <c r="J33" s="1514"/>
      <c r="K33" s="1515"/>
      <c r="L33" s="1516" t="s">
        <v>703</v>
      </c>
      <c r="M33" s="1516" t="s">
        <v>1397</v>
      </c>
      <c r="N33" s="1689" t="s">
        <v>116</v>
      </c>
      <c r="O33" s="1644"/>
      <c r="P33" s="245" t="b">
        <f t="shared" si="3"/>
        <v>0</v>
      </c>
      <c r="R33" s="245" t="b">
        <f t="shared" si="1"/>
        <v>0</v>
      </c>
      <c r="AO33" s="238" t="str">
        <f t="shared" si="2"/>
        <v>SG7</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167</v>
      </c>
      <c r="D34" s="1511" t="s">
        <v>145</v>
      </c>
      <c r="E34" s="1512"/>
      <c r="F34" s="1513">
        <v>1139</v>
      </c>
      <c r="G34" s="1514">
        <v>18</v>
      </c>
      <c r="H34" s="1515">
        <v>5.875</v>
      </c>
      <c r="I34" s="1513"/>
      <c r="J34" s="1514"/>
      <c r="K34" s="1515"/>
      <c r="L34" s="1516" t="s">
        <v>703</v>
      </c>
      <c r="M34" s="1516" t="s">
        <v>1397</v>
      </c>
      <c r="N34" s="1689" t="s">
        <v>116</v>
      </c>
      <c r="O34" s="1644"/>
      <c r="P34" s="245" t="b">
        <f t="shared" si="3"/>
        <v>0</v>
      </c>
      <c r="R34" s="245" t="b">
        <f t="shared" si="1"/>
        <v>0</v>
      </c>
      <c r="AO34" s="238" t="str">
        <f t="shared" si="2"/>
        <v>SG7</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167</v>
      </c>
      <c r="D35" s="1511" t="s">
        <v>145</v>
      </c>
      <c r="E35" s="1512"/>
      <c r="F35" s="1513">
        <v>1139</v>
      </c>
      <c r="G35" s="1514">
        <v>24</v>
      </c>
      <c r="H35" s="1515">
        <v>8.625</v>
      </c>
      <c r="I35" s="1513"/>
      <c r="J35" s="1514"/>
      <c r="K35" s="1515"/>
      <c r="L35" s="1516" t="s">
        <v>703</v>
      </c>
      <c r="M35" s="1516" t="s">
        <v>1397</v>
      </c>
      <c r="N35" s="1689" t="s">
        <v>116</v>
      </c>
      <c r="O35" s="1644"/>
      <c r="P35" s="245" t="b">
        <f t="shared" si="3"/>
        <v>0</v>
      </c>
      <c r="R35" s="245" t="b">
        <f t="shared" si="1"/>
        <v>0</v>
      </c>
      <c r="AO35" s="238" t="str">
        <f t="shared" si="2"/>
        <v>SG7</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1139</v>
      </c>
      <c r="G36" s="1514">
        <v>30</v>
      </c>
      <c r="H36" s="1515">
        <v>11.375</v>
      </c>
      <c r="I36" s="1513"/>
      <c r="J36" s="1514"/>
      <c r="K36" s="1515"/>
      <c r="L36" s="1516" t="s">
        <v>703</v>
      </c>
      <c r="M36" s="1516" t="s">
        <v>1397</v>
      </c>
      <c r="N36" s="1689" t="s">
        <v>116</v>
      </c>
      <c r="O36" s="1644"/>
      <c r="P36" s="245" t="b">
        <f t="shared" si="3"/>
        <v>0</v>
      </c>
      <c r="R36" s="245" t="b">
        <f t="shared" si="1"/>
        <v>0</v>
      </c>
      <c r="AO36" s="238" t="str">
        <f t="shared" si="2"/>
        <v>SG7</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1139</v>
      </c>
      <c r="G37" s="1514">
        <v>37</v>
      </c>
      <c r="H37" s="1515">
        <v>2.1249999999999991</v>
      </c>
      <c r="I37" s="1513"/>
      <c r="J37" s="1514"/>
      <c r="K37" s="1515"/>
      <c r="L37" s="1516" t="s">
        <v>703</v>
      </c>
      <c r="M37" s="1516" t="s">
        <v>1397</v>
      </c>
      <c r="N37" s="1689" t="s">
        <v>116</v>
      </c>
      <c r="O37" s="1644"/>
      <c r="P37" s="245" t="b">
        <f t="shared" si="3"/>
        <v>0</v>
      </c>
      <c r="R37" s="245" t="b">
        <f t="shared" si="1"/>
        <v>0</v>
      </c>
      <c r="AO37" s="238" t="str">
        <f t="shared" si="2"/>
        <v>SG7</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167</v>
      </c>
      <c r="D38" s="1511" t="s">
        <v>145</v>
      </c>
      <c r="E38" s="1512"/>
      <c r="F38" s="1513">
        <v>1139</v>
      </c>
      <c r="G38" s="1514">
        <v>43</v>
      </c>
      <c r="H38" s="1515">
        <v>4.875</v>
      </c>
      <c r="I38" s="1513"/>
      <c r="J38" s="1514"/>
      <c r="K38" s="1515"/>
      <c r="L38" s="1516" t="s">
        <v>703</v>
      </c>
      <c r="M38" s="1516" t="s">
        <v>1397</v>
      </c>
      <c r="N38" s="1689" t="s">
        <v>116</v>
      </c>
      <c r="O38" s="1644"/>
      <c r="P38" s="245" t="b">
        <f t="shared" si="3"/>
        <v>0</v>
      </c>
      <c r="R38" s="245" t="b">
        <f t="shared" si="1"/>
        <v>0</v>
      </c>
      <c r="AO38" s="238" t="str">
        <f t="shared" si="2"/>
        <v>SG7</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167</v>
      </c>
      <c r="D39" s="1511" t="s">
        <v>145</v>
      </c>
      <c r="E39" s="1512"/>
      <c r="F39" s="1513">
        <v>1139</v>
      </c>
      <c r="G39" s="1514">
        <v>49</v>
      </c>
      <c r="H39" s="1515">
        <v>7.6250000000000009</v>
      </c>
      <c r="I39" s="1513"/>
      <c r="J39" s="1514"/>
      <c r="K39" s="1515"/>
      <c r="L39" s="1516" t="s">
        <v>703</v>
      </c>
      <c r="M39" s="1516" t="s">
        <v>1397</v>
      </c>
      <c r="N39" s="1689" t="s">
        <v>116</v>
      </c>
      <c r="O39" s="1644"/>
      <c r="P39" s="245" t="b">
        <f t="shared" si="3"/>
        <v>0</v>
      </c>
      <c r="R39" s="245" t="b">
        <f t="shared" si="1"/>
        <v>0</v>
      </c>
      <c r="AO39" s="238" t="str">
        <f t="shared" si="2"/>
        <v>SG7</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1887</v>
      </c>
      <c r="B40" s="1511" t="s">
        <v>154</v>
      </c>
      <c r="C40" s="1511" t="s">
        <v>165</v>
      </c>
      <c r="D40" s="1511" t="s">
        <v>145</v>
      </c>
      <c r="E40" s="1512"/>
      <c r="F40" s="1513">
        <v>1100</v>
      </c>
      <c r="G40" s="1514"/>
      <c r="H40" s="1515"/>
      <c r="I40" s="1513"/>
      <c r="J40" s="1514"/>
      <c r="K40" s="1515"/>
      <c r="L40" s="1516" t="s">
        <v>116</v>
      </c>
      <c r="M40" s="1516" t="s">
        <v>1397</v>
      </c>
      <c r="N40" s="1689" t="s">
        <v>116</v>
      </c>
      <c r="O40" s="1644"/>
      <c r="P40" s="245" t="b">
        <f t="shared" si="3"/>
        <v>0</v>
      </c>
      <c r="R40" s="245" t="b">
        <f t="shared" si="1"/>
        <v>1</v>
      </c>
      <c r="AO40" s="238" t="str">
        <f t="shared" si="2"/>
        <v>SG9</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1320</v>
      </c>
      <c r="G41" s="1514">
        <v>43</v>
      </c>
      <c r="H41" s="1515">
        <v>6.875</v>
      </c>
      <c r="I41" s="1513">
        <v>1320</v>
      </c>
      <c r="J41" s="1514">
        <v>49</v>
      </c>
      <c r="K41" s="1515">
        <v>9.625</v>
      </c>
      <c r="L41" s="1516" t="s">
        <v>700</v>
      </c>
      <c r="M41" s="1516" t="s">
        <v>1397</v>
      </c>
      <c r="N41" s="1689" t="s">
        <v>116</v>
      </c>
      <c r="O41" s="1644"/>
      <c r="P41" s="245" t="b">
        <f t="shared" si="3"/>
        <v>0</v>
      </c>
      <c r="R41" s="245" t="b">
        <f t="shared" si="1"/>
        <v>0</v>
      </c>
      <c r="AO41" s="238" t="str">
        <f t="shared" si="2"/>
        <v>SG9</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6274</v>
      </c>
      <c r="G42" s="1514">
        <v>6</v>
      </c>
      <c r="H42" s="1515">
        <v>0.375</v>
      </c>
      <c r="I42" s="1513"/>
      <c r="J42" s="1514"/>
      <c r="K42" s="1515"/>
      <c r="L42" s="1516" t="s">
        <v>703</v>
      </c>
      <c r="M42" s="1516" t="s">
        <v>1397</v>
      </c>
      <c r="N42" s="1689" t="s">
        <v>116</v>
      </c>
      <c r="O42" s="1644"/>
      <c r="P42" s="245" t="b">
        <f t="shared" si="3"/>
        <v>0</v>
      </c>
      <c r="R42" s="245" t="b">
        <f t="shared" si="1"/>
        <v>0</v>
      </c>
      <c r="AO42" s="238" t="str">
        <f t="shared" si="2"/>
        <v>SG9</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6274</v>
      </c>
      <c r="G43" s="1514">
        <v>12</v>
      </c>
      <c r="H43" s="1515">
        <v>3.125</v>
      </c>
      <c r="I43" s="1513"/>
      <c r="J43" s="1514"/>
      <c r="K43" s="1515"/>
      <c r="L43" s="1516" t="s">
        <v>703</v>
      </c>
      <c r="M43" s="1516" t="s">
        <v>1397</v>
      </c>
      <c r="N43" s="1689" t="s">
        <v>116</v>
      </c>
      <c r="O43" s="1644"/>
      <c r="P43" s="245" t="b">
        <f t="shared" si="3"/>
        <v>0</v>
      </c>
      <c r="R43" s="245" t="b">
        <f t="shared" si="1"/>
        <v>0</v>
      </c>
      <c r="AO43" s="238" t="str">
        <f t="shared" si="2"/>
        <v>SG9</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6274</v>
      </c>
      <c r="G44" s="1514">
        <v>18</v>
      </c>
      <c r="H44" s="1515">
        <v>5.875</v>
      </c>
      <c r="I44" s="1513"/>
      <c r="J44" s="1514"/>
      <c r="K44" s="1515"/>
      <c r="L44" s="1516" t="s">
        <v>703</v>
      </c>
      <c r="M44" s="1516" t="s">
        <v>1397</v>
      </c>
      <c r="N44" s="1689" t="s">
        <v>116</v>
      </c>
      <c r="O44" s="1644"/>
      <c r="P44" s="245" t="b">
        <f t="shared" si="3"/>
        <v>0</v>
      </c>
      <c r="R44" s="245" t="b">
        <f t="shared" si="1"/>
        <v>0</v>
      </c>
      <c r="AO44" s="238" t="str">
        <f t="shared" si="2"/>
        <v>SG9</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6274</v>
      </c>
      <c r="G45" s="1514">
        <v>24</v>
      </c>
      <c r="H45" s="1515">
        <v>8.625</v>
      </c>
      <c r="I45" s="1513"/>
      <c r="J45" s="1514"/>
      <c r="K45" s="1515"/>
      <c r="L45" s="1516" t="s">
        <v>703</v>
      </c>
      <c r="M45" s="1516" t="s">
        <v>1397</v>
      </c>
      <c r="N45" s="1689" t="s">
        <v>116</v>
      </c>
      <c r="O45" s="1644"/>
      <c r="P45" s="245" t="b">
        <f t="shared" si="3"/>
        <v>0</v>
      </c>
      <c r="R45" s="245" t="b">
        <f t="shared" si="1"/>
        <v>0</v>
      </c>
      <c r="AO45" s="238" t="str">
        <f t="shared" si="2"/>
        <v>SG9</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6274</v>
      </c>
      <c r="G46" s="1514">
        <v>30</v>
      </c>
      <c r="H46" s="1515">
        <v>11.375</v>
      </c>
      <c r="I46" s="1513"/>
      <c r="J46" s="1514"/>
      <c r="K46" s="1515"/>
      <c r="L46" s="1516" t="s">
        <v>703</v>
      </c>
      <c r="M46" s="1516" t="s">
        <v>1397</v>
      </c>
      <c r="N46" s="1689" t="s">
        <v>116</v>
      </c>
      <c r="O46" s="1644"/>
      <c r="P46" s="245" t="b">
        <f t="shared" si="3"/>
        <v>0</v>
      </c>
      <c r="R46" s="245" t="b">
        <f t="shared" si="1"/>
        <v>0</v>
      </c>
      <c r="AO46" s="238" t="str">
        <f t="shared" si="2"/>
        <v>SG9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6274</v>
      </c>
      <c r="G47" s="1514">
        <v>37</v>
      </c>
      <c r="H47" s="1515">
        <v>2.1249999999999991</v>
      </c>
      <c r="I47" s="1513"/>
      <c r="J47" s="1514"/>
      <c r="K47" s="1515"/>
      <c r="L47" s="1516" t="s">
        <v>703</v>
      </c>
      <c r="M47" s="1516" t="s">
        <v>1397</v>
      </c>
      <c r="N47" s="1689" t="s">
        <v>116</v>
      </c>
      <c r="O47" s="1644"/>
      <c r="P47" s="245" t="b">
        <f t="shared" si="3"/>
        <v>0</v>
      </c>
      <c r="R47" s="245" t="b">
        <f t="shared" si="1"/>
        <v>0</v>
      </c>
      <c r="AO47" s="238" t="str">
        <f t="shared" si="2"/>
        <v>SG9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6274</v>
      </c>
      <c r="G48" s="1514">
        <v>43</v>
      </c>
      <c r="H48" s="1515">
        <v>4.875</v>
      </c>
      <c r="I48" s="1513"/>
      <c r="J48" s="1514"/>
      <c r="K48" s="1515"/>
      <c r="L48" s="1516" t="s">
        <v>703</v>
      </c>
      <c r="M48" s="1516" t="s">
        <v>1397</v>
      </c>
      <c r="N48" s="1689" t="s">
        <v>116</v>
      </c>
      <c r="O48" s="1644"/>
      <c r="P48" s="245" t="b">
        <f t="shared" si="3"/>
        <v>0</v>
      </c>
      <c r="R48" s="245" t="b">
        <f t="shared" si="1"/>
        <v>0</v>
      </c>
      <c r="AO48" s="238" t="str">
        <f t="shared" si="2"/>
        <v>SG9</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6274</v>
      </c>
      <c r="G49" s="1514">
        <v>49</v>
      </c>
      <c r="H49" s="1515">
        <v>7.6250000000000009</v>
      </c>
      <c r="I49" s="1513"/>
      <c r="J49" s="1514"/>
      <c r="K49" s="1515"/>
      <c r="L49" s="1516" t="s">
        <v>703</v>
      </c>
      <c r="M49" s="1516" t="s">
        <v>1397</v>
      </c>
      <c r="N49" s="1689" t="s">
        <v>116</v>
      </c>
      <c r="O49" s="1644"/>
      <c r="P49" s="245" t="b">
        <f t="shared" si="3"/>
        <v>0</v>
      </c>
      <c r="R49" s="245" t="b">
        <f t="shared" si="1"/>
        <v>0</v>
      </c>
      <c r="AO49" s="238" t="str">
        <f t="shared" si="2"/>
        <v>SG9</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167</v>
      </c>
      <c r="D50" s="1511" t="s">
        <v>145</v>
      </c>
      <c r="E50" s="1512"/>
      <c r="F50" s="1513">
        <v>1139</v>
      </c>
      <c r="G50" s="1514">
        <v>6</v>
      </c>
      <c r="H50" s="1515">
        <v>0.375</v>
      </c>
      <c r="I50" s="1513"/>
      <c r="J50" s="1514"/>
      <c r="K50" s="1515"/>
      <c r="L50" s="1516" t="s">
        <v>703</v>
      </c>
      <c r="M50" s="1516" t="s">
        <v>1397</v>
      </c>
      <c r="N50" s="1689" t="s">
        <v>116</v>
      </c>
      <c r="O50" s="1644"/>
      <c r="P50" s="245" t="b">
        <f t="shared" si="3"/>
        <v>0</v>
      </c>
      <c r="R50" s="245" t="b">
        <f t="shared" si="1"/>
        <v>0</v>
      </c>
      <c r="AO50" s="238" t="str">
        <f t="shared" si="2"/>
        <v>SG9</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167</v>
      </c>
      <c r="D51" s="1511" t="s">
        <v>145</v>
      </c>
      <c r="E51" s="1512"/>
      <c r="F51" s="1513">
        <v>1139</v>
      </c>
      <c r="G51" s="1514">
        <v>12</v>
      </c>
      <c r="H51" s="1515">
        <v>3.125</v>
      </c>
      <c r="I51" s="1513"/>
      <c r="J51" s="1514"/>
      <c r="K51" s="1515"/>
      <c r="L51" s="1516" t="s">
        <v>703</v>
      </c>
      <c r="M51" s="1516" t="s">
        <v>1397</v>
      </c>
      <c r="N51" s="1689" t="s">
        <v>116</v>
      </c>
      <c r="O51" s="1644"/>
      <c r="P51" s="245" t="b">
        <f t="shared" si="3"/>
        <v>0</v>
      </c>
      <c r="R51" s="245" t="b">
        <f t="shared" si="1"/>
        <v>0</v>
      </c>
      <c r="AO51" s="238" t="str">
        <f t="shared" si="2"/>
        <v>SG9</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167</v>
      </c>
      <c r="D52" s="1511" t="s">
        <v>145</v>
      </c>
      <c r="E52" s="1512"/>
      <c r="F52" s="1513">
        <v>1139</v>
      </c>
      <c r="G52" s="1514">
        <v>18</v>
      </c>
      <c r="H52" s="1515">
        <v>5.875</v>
      </c>
      <c r="I52" s="1513"/>
      <c r="J52" s="1514"/>
      <c r="K52" s="1515"/>
      <c r="L52" s="1516" t="s">
        <v>703</v>
      </c>
      <c r="M52" s="1516" t="s">
        <v>1397</v>
      </c>
      <c r="N52" s="1689" t="s">
        <v>116</v>
      </c>
      <c r="O52" s="1644"/>
      <c r="P52" s="245" t="b">
        <f t="shared" si="3"/>
        <v>0</v>
      </c>
      <c r="R52" s="245" t="b">
        <f t="shared" si="1"/>
        <v>0</v>
      </c>
      <c r="AO52" s="238" t="str">
        <f t="shared" si="2"/>
        <v>SG9</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167</v>
      </c>
      <c r="D53" s="1511" t="s">
        <v>145</v>
      </c>
      <c r="E53" s="1512"/>
      <c r="F53" s="1513">
        <v>1139</v>
      </c>
      <c r="G53" s="1514">
        <v>24</v>
      </c>
      <c r="H53" s="1515">
        <v>8.625</v>
      </c>
      <c r="I53" s="1513"/>
      <c r="J53" s="1514"/>
      <c r="K53" s="1515"/>
      <c r="L53" s="1516" t="s">
        <v>703</v>
      </c>
      <c r="M53" s="1516" t="s">
        <v>1397</v>
      </c>
      <c r="N53" s="1689" t="s">
        <v>116</v>
      </c>
      <c r="O53" s="1644"/>
      <c r="P53" s="245" t="b">
        <f t="shared" si="3"/>
        <v>0</v>
      </c>
      <c r="R53" s="245" t="b">
        <f t="shared" si="1"/>
        <v>0</v>
      </c>
      <c r="AO53" s="238" t="str">
        <f t="shared" si="2"/>
        <v>SG9</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1139</v>
      </c>
      <c r="G54" s="1514">
        <v>30</v>
      </c>
      <c r="H54" s="1515">
        <v>11.375</v>
      </c>
      <c r="I54" s="1513"/>
      <c r="J54" s="1514"/>
      <c r="K54" s="1515"/>
      <c r="L54" s="1516" t="s">
        <v>703</v>
      </c>
      <c r="M54" s="1516" t="s">
        <v>1397</v>
      </c>
      <c r="N54" s="1689" t="s">
        <v>116</v>
      </c>
      <c r="O54" s="1644"/>
      <c r="P54" s="245" t="b">
        <f t="shared" si="3"/>
        <v>0</v>
      </c>
      <c r="R54" s="245" t="b">
        <f t="shared" si="1"/>
        <v>0</v>
      </c>
      <c r="AO54" s="238" t="str">
        <f t="shared" si="2"/>
        <v>SG9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1139</v>
      </c>
      <c r="G55" s="1523">
        <v>37</v>
      </c>
      <c r="H55" s="1524">
        <v>2.1249999999999991</v>
      </c>
      <c r="I55" s="1522"/>
      <c r="J55" s="1523"/>
      <c r="K55" s="1524"/>
      <c r="L55" s="1525" t="s">
        <v>703</v>
      </c>
      <c r="M55" s="1525" t="s">
        <v>1397</v>
      </c>
      <c r="N55" s="1690"/>
      <c r="O55" s="1644"/>
      <c r="P55" s="245" t="b">
        <f t="shared" si="3"/>
        <v>0</v>
      </c>
      <c r="R55" s="245" t="b">
        <f t="shared" si="1"/>
        <v>0</v>
      </c>
      <c r="AO55" s="238" t="str">
        <f t="shared" si="2"/>
        <v>SG9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9" priority="4" stopIfTrue="1">
      <formula>AND($B14="NU",F14&lt;0)</formula>
    </cfRule>
  </conditionalFormatting>
  <conditionalFormatting sqref="B14:B55">
    <cfRule type="expression" dxfId="88" priority="5" stopIfTrue="1">
      <formula>OR(AND($B14="NU",F14&lt;0),AND($B14="NU",I14&lt;0))</formula>
    </cfRule>
  </conditionalFormatting>
  <conditionalFormatting sqref="G14:H55 J14:L55">
    <cfRule type="expression" dxfId="87" priority="6" stopIfTrue="1">
      <formula>$R14</formula>
    </cfRule>
  </conditionalFormatting>
  <conditionalFormatting sqref="I2:K4">
    <cfRule type="cellIs" dxfId="86" priority="7" stopIfTrue="1" operator="equal">
      <formula>""</formula>
    </cfRule>
  </conditionalFormatting>
  <conditionalFormatting sqref="I14:I55">
    <cfRule type="expression" dxfId="85" priority="8" stopIfTrue="1">
      <formula>OR($R14,$B14="CZ",AND($B14="NU",I14&lt;0))</formula>
    </cfRule>
  </conditionalFormatting>
  <conditionalFormatting sqref="A14:A55">
    <cfRule type="expression" dxfId="84" priority="3">
      <formula>NOT($P14)</formula>
    </cfRule>
  </conditionalFormatting>
  <conditionalFormatting sqref="B14:D55">
    <cfRule type="expression" dxfId="8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2" priority="9">
      <formula>AND(NOT($P14),$T$1)</formula>
    </cfRule>
    <cfRule type="expression" dxfId="81" priority="10">
      <formula>AND($AP14,$S$1="M")</formula>
    </cfRule>
  </conditionalFormatting>
  <conditionalFormatting sqref="L14:L55">
    <cfRule type="expression" dxfId="8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3B2C0F09-B9CF-4AF9-B0DF-7F875EFDA97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9511CA22-6641-47A0-8F34-9E503F78C01F}">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268FD4B-CD43-490A-8D93-EB602AB01A82}">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540D48D-EAB4-473D-949B-79DC8B483CBA}">
      <formula1>IF($CA$14,$CA$16:$CA$21,$CB$16:$CB$19)</formula1>
    </dataValidation>
    <dataValidation type="list" allowBlank="1" showErrorMessage="1" errorTitle="Invalid Type" error="You MUST select a Type from the dropdown list provided._x000a__x000a_Also, make sure your Cap Lock is turned on." sqref="B14:B55" xr:uid="{7447134E-FC18-4D3B-A9F8-8C1FE0A27488}">
      <formula1>$BF$15:$BU$15</formula1>
    </dataValidation>
    <dataValidation allowBlank="1" showInputMessage="1" errorTitle="Invalid Load Case" error="You MUST use a Load Case from the list provided." sqref="M14:M55" xr:uid="{C1651E9F-7C9E-4E4E-AA3C-C533DBAC1148}"/>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E944-CDEA-4101-87F7-DBE2A5C662DB}">
  <sheetPr codeName="Sheet4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1139</v>
      </c>
      <c r="G14" s="1506">
        <v>43</v>
      </c>
      <c r="H14" s="1507">
        <v>4.875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167</v>
      </c>
      <c r="D15" s="1511" t="s">
        <v>145</v>
      </c>
      <c r="E15" s="1512"/>
      <c r="F15" s="1513">
        <v>1139</v>
      </c>
      <c r="G15" s="1514">
        <v>49</v>
      </c>
      <c r="H15" s="1515">
        <v>7.6250000000000009</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t="s">
        <v>1888</v>
      </c>
      <c r="B16" s="1511" t="s">
        <v>154</v>
      </c>
      <c r="C16" s="1511" t="s">
        <v>165</v>
      </c>
      <c r="D16" s="1511" t="s">
        <v>145</v>
      </c>
      <c r="E16" s="1512"/>
      <c r="F16" s="1513">
        <v>1100</v>
      </c>
      <c r="G16" s="1514"/>
      <c r="H16" s="1515"/>
      <c r="I16" s="1513"/>
      <c r="J16" s="1514"/>
      <c r="K16" s="1515"/>
      <c r="L16" s="1516" t="s">
        <v>116</v>
      </c>
      <c r="M16" s="1517" t="s">
        <v>1397</v>
      </c>
      <c r="N16" s="1689"/>
      <c r="O16" s="1644"/>
      <c r="P16" s="245" t="b">
        <f t="shared" si="0"/>
        <v>0</v>
      </c>
      <c r="R16" s="245" t="b">
        <f t="shared" si="1"/>
        <v>1</v>
      </c>
      <c r="AO16" s="238" t="str">
        <f t="shared" si="2"/>
        <v>SG10</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154</v>
      </c>
      <c r="C17" s="1511" t="s">
        <v>165</v>
      </c>
      <c r="D17" s="1511" t="s">
        <v>145</v>
      </c>
      <c r="E17" s="1512"/>
      <c r="F17" s="1513">
        <v>1320</v>
      </c>
      <c r="G17" s="1514"/>
      <c r="H17" s="1515"/>
      <c r="I17" s="1513"/>
      <c r="J17" s="1514"/>
      <c r="K17" s="1515"/>
      <c r="L17" s="1516" t="s">
        <v>116</v>
      </c>
      <c r="M17" s="1517" t="s">
        <v>1397</v>
      </c>
      <c r="N17" s="1689"/>
      <c r="O17" s="1644"/>
      <c r="P17" s="245" t="b">
        <f>IF(ISERROR(VLOOKUP(AO17,BE:BE,1,FALSE)),FALSE,IF(AO17&lt;&gt;"",VLOOKUP(AO17,BE:BE,1,FALSE)=AO17))</f>
        <v>0</v>
      </c>
      <c r="R17" s="245" t="b">
        <f t="shared" si="1"/>
        <v>1</v>
      </c>
      <c r="AO17" s="238" t="str">
        <f t="shared" si="2"/>
        <v>SG10</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153</v>
      </c>
      <c r="C18" s="1511" t="s">
        <v>165</v>
      </c>
      <c r="D18" s="1511" t="s">
        <v>145</v>
      </c>
      <c r="E18" s="1512"/>
      <c r="F18" s="1513">
        <v>15300</v>
      </c>
      <c r="G18" s="1514">
        <v>54</v>
      </c>
      <c r="H18" s="1515">
        <v>8</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SG10</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6274</v>
      </c>
      <c r="G19" s="1514">
        <v>6</v>
      </c>
      <c r="H19" s="1515">
        <v>0.375</v>
      </c>
      <c r="I19" s="1513"/>
      <c r="J19" s="1514"/>
      <c r="K19" s="1515"/>
      <c r="L19" s="1516" t="s">
        <v>703</v>
      </c>
      <c r="M19" s="1517" t="s">
        <v>1397</v>
      </c>
      <c r="N19" s="1689" t="s">
        <v>116</v>
      </c>
      <c r="O19" s="1644"/>
      <c r="P19" s="245" t="b">
        <f t="shared" si="3"/>
        <v>0</v>
      </c>
      <c r="R19" s="245" t="b">
        <f t="shared" si="1"/>
        <v>0</v>
      </c>
      <c r="AO19" s="238" t="str">
        <f t="shared" si="2"/>
        <v>SG10</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6274</v>
      </c>
      <c r="G20" s="1514">
        <v>12</v>
      </c>
      <c r="H20" s="1515">
        <v>3.125</v>
      </c>
      <c r="I20" s="1513"/>
      <c r="J20" s="1514"/>
      <c r="K20" s="1515"/>
      <c r="L20" s="1516" t="s">
        <v>703</v>
      </c>
      <c r="M20" s="1517" t="s">
        <v>1397</v>
      </c>
      <c r="N20" s="1518"/>
      <c r="O20" s="1645"/>
      <c r="P20" s="245" t="b">
        <f t="shared" si="3"/>
        <v>0</v>
      </c>
      <c r="R20" s="245" t="b">
        <f t="shared" si="1"/>
        <v>0</v>
      </c>
      <c r="AO20" s="238" t="str">
        <f t="shared" si="2"/>
        <v>SG10</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6274</v>
      </c>
      <c r="G21" s="1514">
        <v>18</v>
      </c>
      <c r="H21" s="1515">
        <v>5.875</v>
      </c>
      <c r="I21" s="1513"/>
      <c r="J21" s="1514"/>
      <c r="K21" s="1515"/>
      <c r="L21" s="1516" t="s">
        <v>703</v>
      </c>
      <c r="M21" s="1517" t="s">
        <v>1397</v>
      </c>
      <c r="N21" s="1518"/>
      <c r="O21" s="1645"/>
      <c r="P21" s="245" t="b">
        <f t="shared" si="3"/>
        <v>0</v>
      </c>
      <c r="R21" s="245" t="b">
        <f t="shared" si="1"/>
        <v>0</v>
      </c>
      <c r="AO21" s="238" t="str">
        <f t="shared" si="2"/>
        <v>SG10</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6274</v>
      </c>
      <c r="G22" s="1514">
        <v>24</v>
      </c>
      <c r="H22" s="1515">
        <v>8.625</v>
      </c>
      <c r="I22" s="1513"/>
      <c r="J22" s="1514"/>
      <c r="K22" s="1515"/>
      <c r="L22" s="1516" t="s">
        <v>703</v>
      </c>
      <c r="M22" s="1517" t="s">
        <v>1397</v>
      </c>
      <c r="N22" s="1518"/>
      <c r="O22" s="1645"/>
      <c r="P22" s="245" t="b">
        <f t="shared" si="3"/>
        <v>0</v>
      </c>
      <c r="R22" s="245" t="b">
        <f t="shared" si="1"/>
        <v>0</v>
      </c>
      <c r="AO22" s="238" t="str">
        <f t="shared" si="2"/>
        <v>SG10</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6274</v>
      </c>
      <c r="G23" s="1514">
        <v>30</v>
      </c>
      <c r="H23" s="1515">
        <v>11.375</v>
      </c>
      <c r="I23" s="1513"/>
      <c r="J23" s="1514"/>
      <c r="K23" s="1515"/>
      <c r="L23" s="1516" t="s">
        <v>703</v>
      </c>
      <c r="M23" s="1517" t="s">
        <v>1397</v>
      </c>
      <c r="N23" s="1518"/>
      <c r="O23" s="1645"/>
      <c r="P23" s="245" t="b">
        <f t="shared" si="3"/>
        <v>0</v>
      </c>
      <c r="R23" s="245" t="b">
        <f t="shared" si="1"/>
        <v>0</v>
      </c>
      <c r="AO23" s="238" t="str">
        <f t="shared" si="2"/>
        <v>SG10</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6274</v>
      </c>
      <c r="G24" s="1514">
        <v>37</v>
      </c>
      <c r="H24" s="1515">
        <v>2.1249999999999991</v>
      </c>
      <c r="I24" s="1513"/>
      <c r="J24" s="1514"/>
      <c r="K24" s="1515"/>
      <c r="L24" s="1516" t="s">
        <v>703</v>
      </c>
      <c r="M24" s="1517" t="s">
        <v>1397</v>
      </c>
      <c r="N24" s="1518"/>
      <c r="O24" s="1645"/>
      <c r="P24" s="245" t="b">
        <f t="shared" si="3"/>
        <v>0</v>
      </c>
      <c r="R24" s="245" t="b">
        <f t="shared" si="1"/>
        <v>0</v>
      </c>
      <c r="AO24" s="238" t="str">
        <f t="shared" si="2"/>
        <v>SG10</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6274</v>
      </c>
      <c r="G25" s="1514">
        <v>43</v>
      </c>
      <c r="H25" s="1515">
        <v>4.875</v>
      </c>
      <c r="I25" s="1513"/>
      <c r="J25" s="1514"/>
      <c r="K25" s="1515"/>
      <c r="L25" s="1516" t="s">
        <v>703</v>
      </c>
      <c r="M25" s="1517" t="s">
        <v>1397</v>
      </c>
      <c r="N25" s="1518"/>
      <c r="O25" s="1645"/>
      <c r="P25" s="245" t="b">
        <f t="shared" si="3"/>
        <v>0</v>
      </c>
      <c r="R25" s="245" t="b">
        <f t="shared" si="1"/>
        <v>0</v>
      </c>
      <c r="AO25" s="238" t="str">
        <f t="shared" si="2"/>
        <v>SG10</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6274</v>
      </c>
      <c r="G26" s="1514">
        <v>49</v>
      </c>
      <c r="H26" s="1515">
        <v>7.6250000000000009</v>
      </c>
      <c r="I26" s="1513"/>
      <c r="J26" s="1514"/>
      <c r="K26" s="1515"/>
      <c r="L26" s="1516" t="s">
        <v>703</v>
      </c>
      <c r="M26" s="1517" t="s">
        <v>1397</v>
      </c>
      <c r="N26" s="1518"/>
      <c r="O26" s="1645"/>
      <c r="P26" s="245" t="b">
        <f t="shared" si="3"/>
        <v>0</v>
      </c>
      <c r="R26" s="245" t="b">
        <f t="shared" si="1"/>
        <v>0</v>
      </c>
      <c r="AO26" s="238" t="str">
        <f t="shared" si="2"/>
        <v>SG10</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1139</v>
      </c>
      <c r="G27" s="1514">
        <v>6</v>
      </c>
      <c r="H27" s="1515">
        <v>0.375</v>
      </c>
      <c r="I27" s="1513"/>
      <c r="J27" s="1514"/>
      <c r="K27" s="1515"/>
      <c r="L27" s="1516" t="s">
        <v>703</v>
      </c>
      <c r="M27" s="1517" t="s">
        <v>1397</v>
      </c>
      <c r="N27" s="1518"/>
      <c r="O27" s="1645"/>
      <c r="P27" s="245" t="b">
        <f t="shared" si="3"/>
        <v>0</v>
      </c>
      <c r="R27" s="245" t="b">
        <f t="shared" si="1"/>
        <v>0</v>
      </c>
      <c r="AO27" s="238" t="str">
        <f t="shared" si="2"/>
        <v>SG10</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1139</v>
      </c>
      <c r="G28" s="1514">
        <v>12</v>
      </c>
      <c r="H28" s="1515">
        <v>3.125</v>
      </c>
      <c r="I28" s="1513"/>
      <c r="J28" s="1514"/>
      <c r="K28" s="1515"/>
      <c r="L28" s="1516" t="s">
        <v>703</v>
      </c>
      <c r="M28" s="1517" t="s">
        <v>1397</v>
      </c>
      <c r="N28" s="1689"/>
      <c r="O28" s="1644"/>
      <c r="P28" s="245" t="b">
        <f t="shared" si="3"/>
        <v>0</v>
      </c>
      <c r="R28" s="245" t="b">
        <f t="shared" si="1"/>
        <v>0</v>
      </c>
      <c r="AO28" s="238" t="str">
        <f t="shared" si="2"/>
        <v>SG10</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167</v>
      </c>
      <c r="D29" s="1511" t="s">
        <v>145</v>
      </c>
      <c r="E29" s="1512"/>
      <c r="F29" s="1513">
        <v>1139</v>
      </c>
      <c r="G29" s="1514">
        <v>18</v>
      </c>
      <c r="H29" s="1515">
        <v>5.875</v>
      </c>
      <c r="I29" s="1513"/>
      <c r="J29" s="1514"/>
      <c r="K29" s="1515"/>
      <c r="L29" s="1516" t="s">
        <v>703</v>
      </c>
      <c r="M29" s="1517" t="s">
        <v>1397</v>
      </c>
      <c r="N29" s="1689"/>
      <c r="O29" s="1644"/>
      <c r="P29" s="245" t="b">
        <f t="shared" si="3"/>
        <v>0</v>
      </c>
      <c r="R29" s="245" t="b">
        <f t="shared" si="1"/>
        <v>0</v>
      </c>
      <c r="AO29" s="238" t="str">
        <f t="shared" si="2"/>
        <v>SG10</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1139</v>
      </c>
      <c r="G30" s="1514">
        <v>24</v>
      </c>
      <c r="H30" s="1515">
        <v>8.625</v>
      </c>
      <c r="I30" s="1513"/>
      <c r="J30" s="1514"/>
      <c r="K30" s="1515"/>
      <c r="L30" s="1516" t="s">
        <v>703</v>
      </c>
      <c r="M30" s="1517" t="s">
        <v>1397</v>
      </c>
      <c r="N30" s="1689" t="s">
        <v>116</v>
      </c>
      <c r="O30" s="1644"/>
      <c r="P30" s="245" t="b">
        <f t="shared" si="3"/>
        <v>0</v>
      </c>
      <c r="R30" s="245" t="b">
        <f t="shared" si="1"/>
        <v>0</v>
      </c>
      <c r="AO30" s="238" t="str">
        <f t="shared" si="2"/>
        <v>SG10</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167</v>
      </c>
      <c r="D31" s="1511" t="s">
        <v>145</v>
      </c>
      <c r="E31" s="1512"/>
      <c r="F31" s="1513">
        <v>1139</v>
      </c>
      <c r="G31" s="1514">
        <v>30</v>
      </c>
      <c r="H31" s="1515">
        <v>11.375</v>
      </c>
      <c r="I31" s="1513"/>
      <c r="J31" s="1514"/>
      <c r="K31" s="1515"/>
      <c r="L31" s="1516" t="s">
        <v>703</v>
      </c>
      <c r="M31" s="1516" t="s">
        <v>1397</v>
      </c>
      <c r="N31" s="1689" t="s">
        <v>116</v>
      </c>
      <c r="O31" s="1644"/>
      <c r="P31" s="245" t="b">
        <f t="shared" si="3"/>
        <v>0</v>
      </c>
      <c r="R31" s="245" t="b">
        <f t="shared" si="1"/>
        <v>0</v>
      </c>
      <c r="AO31" s="238" t="str">
        <f t="shared" si="2"/>
        <v>SG10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167</v>
      </c>
      <c r="D32" s="1511" t="s">
        <v>145</v>
      </c>
      <c r="E32" s="1512"/>
      <c r="F32" s="1513">
        <v>1139</v>
      </c>
      <c r="G32" s="1514">
        <v>37</v>
      </c>
      <c r="H32" s="1515">
        <v>2.1249999999999991</v>
      </c>
      <c r="I32" s="1513"/>
      <c r="J32" s="1514"/>
      <c r="K32" s="1515"/>
      <c r="L32" s="1516" t="s">
        <v>703</v>
      </c>
      <c r="M32" s="1516" t="s">
        <v>1397</v>
      </c>
      <c r="N32" s="1689" t="s">
        <v>116</v>
      </c>
      <c r="O32" s="1644"/>
      <c r="P32" s="245" t="b">
        <f t="shared" si="3"/>
        <v>0</v>
      </c>
      <c r="R32" s="245" t="b">
        <f t="shared" si="1"/>
        <v>0</v>
      </c>
      <c r="AO32" s="238" t="str">
        <f t="shared" si="2"/>
        <v>SG10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167</v>
      </c>
      <c r="D33" s="1511" t="s">
        <v>145</v>
      </c>
      <c r="E33" s="1512"/>
      <c r="F33" s="1513">
        <v>1139</v>
      </c>
      <c r="G33" s="1514">
        <v>43</v>
      </c>
      <c r="H33" s="1515">
        <v>4.875</v>
      </c>
      <c r="I33" s="1513"/>
      <c r="J33" s="1514"/>
      <c r="K33" s="1515"/>
      <c r="L33" s="1516" t="s">
        <v>703</v>
      </c>
      <c r="M33" s="1516" t="s">
        <v>1397</v>
      </c>
      <c r="N33" s="1689" t="s">
        <v>116</v>
      </c>
      <c r="O33" s="1644"/>
      <c r="P33" s="245" t="b">
        <f t="shared" si="3"/>
        <v>0</v>
      </c>
      <c r="R33" s="245" t="b">
        <f t="shared" si="1"/>
        <v>0</v>
      </c>
      <c r="AO33" s="238" t="str">
        <f t="shared" si="2"/>
        <v>SG10</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167</v>
      </c>
      <c r="D34" s="1511" t="s">
        <v>145</v>
      </c>
      <c r="E34" s="1512"/>
      <c r="F34" s="1513">
        <v>1139</v>
      </c>
      <c r="G34" s="1514">
        <v>49</v>
      </c>
      <c r="H34" s="1515">
        <v>7.6250000000000009</v>
      </c>
      <c r="I34" s="1513"/>
      <c r="J34" s="1514"/>
      <c r="K34" s="1515"/>
      <c r="L34" s="1516" t="s">
        <v>703</v>
      </c>
      <c r="M34" s="1516" t="s">
        <v>1397</v>
      </c>
      <c r="N34" s="1689" t="s">
        <v>116</v>
      </c>
      <c r="O34" s="1644"/>
      <c r="P34" s="245" t="b">
        <f t="shared" si="3"/>
        <v>0</v>
      </c>
      <c r="R34" s="245" t="b">
        <f t="shared" si="1"/>
        <v>0</v>
      </c>
      <c r="AO34" s="238" t="str">
        <f t="shared" si="2"/>
        <v>SG10</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1889</v>
      </c>
      <c r="B35" s="1511" t="s">
        <v>148</v>
      </c>
      <c r="C35" s="1511" t="s">
        <v>163</v>
      </c>
      <c r="D35" s="1511" t="s">
        <v>145</v>
      </c>
      <c r="E35" s="1512"/>
      <c r="F35" s="1513">
        <v>7700</v>
      </c>
      <c r="G35" s="1514">
        <v>5</v>
      </c>
      <c r="H35" s="1515">
        <v>5.375</v>
      </c>
      <c r="I35" s="1513">
        <v>3000</v>
      </c>
      <c r="J35" s="1514">
        <v>11</v>
      </c>
      <c r="K35" s="1515">
        <v>8.125</v>
      </c>
      <c r="L35" s="1516" t="s">
        <v>702</v>
      </c>
      <c r="M35" s="1516" t="s">
        <v>1397</v>
      </c>
      <c r="N35" s="1689" t="s">
        <v>116</v>
      </c>
      <c r="O35" s="1644"/>
      <c r="P35" s="245" t="b">
        <f t="shared" si="3"/>
        <v>0</v>
      </c>
      <c r="R35" s="245" t="b">
        <f t="shared" si="1"/>
        <v>0</v>
      </c>
      <c r="AO35" s="238" t="str">
        <f t="shared" si="2"/>
        <v>SG12</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163</v>
      </c>
      <c r="D36" s="1511" t="s">
        <v>145</v>
      </c>
      <c r="E36" s="1512"/>
      <c r="F36" s="1513">
        <v>200</v>
      </c>
      <c r="G36" s="1514">
        <v>17</v>
      </c>
      <c r="H36" s="1515">
        <v>10.875</v>
      </c>
      <c r="I36" s="1513"/>
      <c r="J36" s="1514"/>
      <c r="K36" s="1515"/>
      <c r="L36" s="1516" t="s">
        <v>702</v>
      </c>
      <c r="M36" s="1516" t="s">
        <v>1397</v>
      </c>
      <c r="N36" s="1689" t="s">
        <v>116</v>
      </c>
      <c r="O36" s="1644"/>
      <c r="P36" s="245" t="b">
        <f t="shared" si="3"/>
        <v>0</v>
      </c>
      <c r="R36" s="245" t="b">
        <f t="shared" si="1"/>
        <v>0</v>
      </c>
      <c r="AO36" s="238" t="str">
        <f t="shared" si="2"/>
        <v>SG12</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154</v>
      </c>
      <c r="C37" s="1511" t="s">
        <v>165</v>
      </c>
      <c r="D37" s="1511" t="s">
        <v>145</v>
      </c>
      <c r="E37" s="1512"/>
      <c r="F37" s="1513">
        <v>1100</v>
      </c>
      <c r="G37" s="1514"/>
      <c r="H37" s="1515"/>
      <c r="I37" s="1513"/>
      <c r="J37" s="1514"/>
      <c r="K37" s="1515"/>
      <c r="L37" s="1516" t="s">
        <v>116</v>
      </c>
      <c r="M37" s="1516" t="s">
        <v>1397</v>
      </c>
      <c r="N37" s="1689" t="s">
        <v>116</v>
      </c>
      <c r="O37" s="1644"/>
      <c r="P37" s="245" t="b">
        <f t="shared" si="3"/>
        <v>0</v>
      </c>
      <c r="R37" s="245" t="b">
        <f t="shared" si="1"/>
        <v>1</v>
      </c>
      <c r="AO37" s="238" t="str">
        <f t="shared" si="2"/>
        <v>SG12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154</v>
      </c>
      <c r="C38" s="1511" t="s">
        <v>165</v>
      </c>
      <c r="D38" s="1511" t="s">
        <v>145</v>
      </c>
      <c r="E38" s="1512"/>
      <c r="F38" s="1513">
        <v>1320</v>
      </c>
      <c r="G38" s="1514"/>
      <c r="H38" s="1515"/>
      <c r="I38" s="1513"/>
      <c r="J38" s="1514"/>
      <c r="K38" s="1515"/>
      <c r="L38" s="1516" t="s">
        <v>116</v>
      </c>
      <c r="M38" s="1516" t="s">
        <v>1397</v>
      </c>
      <c r="N38" s="1689" t="s">
        <v>116</v>
      </c>
      <c r="O38" s="1644"/>
      <c r="P38" s="245" t="b">
        <f t="shared" si="3"/>
        <v>0</v>
      </c>
      <c r="R38" s="245" t="b">
        <f t="shared" si="1"/>
        <v>1</v>
      </c>
      <c r="AO38" s="238" t="str">
        <f t="shared" si="2"/>
        <v>SG12</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5659</v>
      </c>
      <c r="G39" s="1514">
        <v>6</v>
      </c>
      <c r="H39" s="1515">
        <v>0.375</v>
      </c>
      <c r="I39" s="1513"/>
      <c r="J39" s="1514"/>
      <c r="K39" s="1515"/>
      <c r="L39" s="1516" t="s">
        <v>703</v>
      </c>
      <c r="M39" s="1516" t="s">
        <v>1397</v>
      </c>
      <c r="N39" s="1689" t="s">
        <v>116</v>
      </c>
      <c r="O39" s="1644"/>
      <c r="P39" s="245" t="b">
        <f t="shared" si="3"/>
        <v>0</v>
      </c>
      <c r="R39" s="245" t="b">
        <f t="shared" si="1"/>
        <v>0</v>
      </c>
      <c r="AO39" s="238" t="str">
        <f t="shared" si="2"/>
        <v>SG12</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5659</v>
      </c>
      <c r="G40" s="1514">
        <v>12</v>
      </c>
      <c r="H40" s="1515">
        <v>3.125</v>
      </c>
      <c r="I40" s="1513"/>
      <c r="J40" s="1514"/>
      <c r="K40" s="1515"/>
      <c r="L40" s="1516" t="s">
        <v>703</v>
      </c>
      <c r="M40" s="1516" t="s">
        <v>1397</v>
      </c>
      <c r="N40" s="1689" t="s">
        <v>116</v>
      </c>
      <c r="O40" s="1644"/>
      <c r="P40" s="245" t="b">
        <f t="shared" si="3"/>
        <v>0</v>
      </c>
      <c r="R40" s="245" t="b">
        <f t="shared" si="1"/>
        <v>0</v>
      </c>
      <c r="AO40" s="238" t="str">
        <f t="shared" si="2"/>
        <v>SG12</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5659</v>
      </c>
      <c r="G41" s="1514">
        <v>18</v>
      </c>
      <c r="H41" s="1515">
        <v>5.875</v>
      </c>
      <c r="I41" s="1513"/>
      <c r="J41" s="1514"/>
      <c r="K41" s="1515"/>
      <c r="L41" s="1516" t="s">
        <v>703</v>
      </c>
      <c r="M41" s="1516" t="s">
        <v>1397</v>
      </c>
      <c r="N41" s="1689" t="s">
        <v>116</v>
      </c>
      <c r="O41" s="1644"/>
      <c r="P41" s="245" t="b">
        <f t="shared" si="3"/>
        <v>0</v>
      </c>
      <c r="R41" s="245" t="b">
        <f t="shared" si="1"/>
        <v>0</v>
      </c>
      <c r="AO41" s="238" t="str">
        <f t="shared" si="2"/>
        <v>SG12</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5659</v>
      </c>
      <c r="G42" s="1514">
        <v>24</v>
      </c>
      <c r="H42" s="1515">
        <v>8.625</v>
      </c>
      <c r="I42" s="1513"/>
      <c r="J42" s="1514"/>
      <c r="K42" s="1515"/>
      <c r="L42" s="1516" t="s">
        <v>703</v>
      </c>
      <c r="M42" s="1516" t="s">
        <v>1397</v>
      </c>
      <c r="N42" s="1689" t="s">
        <v>116</v>
      </c>
      <c r="O42" s="1644"/>
      <c r="P42" s="245" t="b">
        <f t="shared" si="3"/>
        <v>0</v>
      </c>
      <c r="R42" s="245" t="b">
        <f t="shared" si="1"/>
        <v>0</v>
      </c>
      <c r="AO42" s="238" t="str">
        <f t="shared" si="2"/>
        <v>SG12</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5659</v>
      </c>
      <c r="G43" s="1514">
        <v>30</v>
      </c>
      <c r="H43" s="1515">
        <v>11.375</v>
      </c>
      <c r="I43" s="1513"/>
      <c r="J43" s="1514"/>
      <c r="K43" s="1515"/>
      <c r="L43" s="1516" t="s">
        <v>703</v>
      </c>
      <c r="M43" s="1516" t="s">
        <v>1397</v>
      </c>
      <c r="N43" s="1689" t="s">
        <v>116</v>
      </c>
      <c r="O43" s="1644"/>
      <c r="P43" s="245" t="b">
        <f t="shared" si="3"/>
        <v>0</v>
      </c>
      <c r="R43" s="245" t="b">
        <f t="shared" si="1"/>
        <v>0</v>
      </c>
      <c r="AO43" s="238" t="str">
        <f t="shared" si="2"/>
        <v>SG12</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5659</v>
      </c>
      <c r="G44" s="1514">
        <v>37</v>
      </c>
      <c r="H44" s="1515">
        <v>2.1249999999999991</v>
      </c>
      <c r="I44" s="1513"/>
      <c r="J44" s="1514"/>
      <c r="K44" s="1515"/>
      <c r="L44" s="1516" t="s">
        <v>703</v>
      </c>
      <c r="M44" s="1516" t="s">
        <v>1397</v>
      </c>
      <c r="N44" s="1689" t="s">
        <v>116</v>
      </c>
      <c r="O44" s="1644"/>
      <c r="P44" s="245" t="b">
        <f t="shared" si="3"/>
        <v>0</v>
      </c>
      <c r="R44" s="245" t="b">
        <f t="shared" si="1"/>
        <v>0</v>
      </c>
      <c r="AO44" s="238" t="str">
        <f t="shared" si="2"/>
        <v>SG12</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5659</v>
      </c>
      <c r="G45" s="1514">
        <v>43</v>
      </c>
      <c r="H45" s="1515">
        <v>4.875</v>
      </c>
      <c r="I45" s="1513"/>
      <c r="J45" s="1514"/>
      <c r="K45" s="1515"/>
      <c r="L45" s="1516" t="s">
        <v>703</v>
      </c>
      <c r="M45" s="1516" t="s">
        <v>1397</v>
      </c>
      <c r="N45" s="1689" t="s">
        <v>116</v>
      </c>
      <c r="O45" s="1644"/>
      <c r="P45" s="245" t="b">
        <f t="shared" si="3"/>
        <v>0</v>
      </c>
      <c r="R45" s="245" t="b">
        <f t="shared" si="1"/>
        <v>0</v>
      </c>
      <c r="AO45" s="238" t="str">
        <f t="shared" si="2"/>
        <v>SG12</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5659</v>
      </c>
      <c r="G46" s="1514">
        <v>49</v>
      </c>
      <c r="H46" s="1515">
        <v>7.6250000000000009</v>
      </c>
      <c r="I46" s="1513"/>
      <c r="J46" s="1514"/>
      <c r="K46" s="1515"/>
      <c r="L46" s="1516" t="s">
        <v>703</v>
      </c>
      <c r="M46" s="1516" t="s">
        <v>1397</v>
      </c>
      <c r="N46" s="1689" t="s">
        <v>116</v>
      </c>
      <c r="O46" s="1644"/>
      <c r="P46" s="245" t="b">
        <f t="shared" si="3"/>
        <v>0</v>
      </c>
      <c r="R46" s="245" t="b">
        <f t="shared" si="1"/>
        <v>0</v>
      </c>
      <c r="AO46" s="238" t="str">
        <f t="shared" si="2"/>
        <v>SG12</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167</v>
      </c>
      <c r="D47" s="1511" t="s">
        <v>145</v>
      </c>
      <c r="E47" s="1512"/>
      <c r="F47" s="1513">
        <v>1027</v>
      </c>
      <c r="G47" s="1514">
        <v>6</v>
      </c>
      <c r="H47" s="1515">
        <v>0.375</v>
      </c>
      <c r="I47" s="1513"/>
      <c r="J47" s="1514"/>
      <c r="K47" s="1515"/>
      <c r="L47" s="1516" t="s">
        <v>703</v>
      </c>
      <c r="M47" s="1516" t="s">
        <v>1397</v>
      </c>
      <c r="N47" s="1689" t="s">
        <v>116</v>
      </c>
      <c r="O47" s="1644"/>
      <c r="P47" s="245" t="b">
        <f t="shared" si="3"/>
        <v>0</v>
      </c>
      <c r="R47" s="245" t="b">
        <f t="shared" si="1"/>
        <v>0</v>
      </c>
      <c r="AO47" s="238" t="str">
        <f t="shared" si="2"/>
        <v>SG12</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167</v>
      </c>
      <c r="D48" s="1511" t="s">
        <v>145</v>
      </c>
      <c r="E48" s="1512"/>
      <c r="F48" s="1513">
        <v>1027</v>
      </c>
      <c r="G48" s="1514">
        <v>12</v>
      </c>
      <c r="H48" s="1515">
        <v>3.125</v>
      </c>
      <c r="I48" s="1513"/>
      <c r="J48" s="1514"/>
      <c r="K48" s="1515"/>
      <c r="L48" s="1516" t="s">
        <v>703</v>
      </c>
      <c r="M48" s="1516" t="s">
        <v>1397</v>
      </c>
      <c r="N48" s="1689" t="s">
        <v>116</v>
      </c>
      <c r="O48" s="1644"/>
      <c r="P48" s="245" t="b">
        <f t="shared" si="3"/>
        <v>0</v>
      </c>
      <c r="R48" s="245" t="b">
        <f t="shared" si="1"/>
        <v>0</v>
      </c>
      <c r="AO48" s="238" t="str">
        <f t="shared" si="2"/>
        <v>SG12</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1027</v>
      </c>
      <c r="G49" s="1514">
        <v>18</v>
      </c>
      <c r="H49" s="1515">
        <v>5.875</v>
      </c>
      <c r="I49" s="1513"/>
      <c r="J49" s="1514"/>
      <c r="K49" s="1515"/>
      <c r="L49" s="1516" t="s">
        <v>703</v>
      </c>
      <c r="M49" s="1516" t="s">
        <v>1397</v>
      </c>
      <c r="N49" s="1689" t="s">
        <v>116</v>
      </c>
      <c r="O49" s="1644"/>
      <c r="P49" s="245" t="b">
        <f t="shared" si="3"/>
        <v>0</v>
      </c>
      <c r="R49" s="245" t="b">
        <f t="shared" si="1"/>
        <v>0</v>
      </c>
      <c r="AO49" s="238" t="str">
        <f t="shared" si="2"/>
        <v>SG12</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167</v>
      </c>
      <c r="D50" s="1511" t="s">
        <v>145</v>
      </c>
      <c r="E50" s="1512"/>
      <c r="F50" s="1513">
        <v>1027</v>
      </c>
      <c r="G50" s="1514">
        <v>24</v>
      </c>
      <c r="H50" s="1515">
        <v>8.625</v>
      </c>
      <c r="I50" s="1513"/>
      <c r="J50" s="1514"/>
      <c r="K50" s="1515"/>
      <c r="L50" s="1516" t="s">
        <v>703</v>
      </c>
      <c r="M50" s="1516" t="s">
        <v>1397</v>
      </c>
      <c r="N50" s="1689" t="s">
        <v>116</v>
      </c>
      <c r="O50" s="1644"/>
      <c r="P50" s="245" t="b">
        <f t="shared" si="3"/>
        <v>0</v>
      </c>
      <c r="R50" s="245" t="b">
        <f t="shared" si="1"/>
        <v>0</v>
      </c>
      <c r="AO50" s="238" t="str">
        <f t="shared" si="2"/>
        <v>SG12</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167</v>
      </c>
      <c r="D51" s="1511" t="s">
        <v>145</v>
      </c>
      <c r="E51" s="1512"/>
      <c r="F51" s="1513">
        <v>1027</v>
      </c>
      <c r="G51" s="1514">
        <v>30</v>
      </c>
      <c r="H51" s="1515">
        <v>11.375</v>
      </c>
      <c r="I51" s="1513"/>
      <c r="J51" s="1514"/>
      <c r="K51" s="1515"/>
      <c r="L51" s="1516" t="s">
        <v>703</v>
      </c>
      <c r="M51" s="1516" t="s">
        <v>1397</v>
      </c>
      <c r="N51" s="1689" t="s">
        <v>116</v>
      </c>
      <c r="O51" s="1644"/>
      <c r="P51" s="245" t="b">
        <f t="shared" si="3"/>
        <v>0</v>
      </c>
      <c r="R51" s="245" t="b">
        <f t="shared" si="1"/>
        <v>0</v>
      </c>
      <c r="AO51" s="238" t="str">
        <f t="shared" si="2"/>
        <v>SG12</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167</v>
      </c>
      <c r="D52" s="1511" t="s">
        <v>145</v>
      </c>
      <c r="E52" s="1512"/>
      <c r="F52" s="1513">
        <v>1027</v>
      </c>
      <c r="G52" s="1514">
        <v>37</v>
      </c>
      <c r="H52" s="1515">
        <v>2.1249999999999991</v>
      </c>
      <c r="I52" s="1513"/>
      <c r="J52" s="1514"/>
      <c r="K52" s="1515"/>
      <c r="L52" s="1516" t="s">
        <v>703</v>
      </c>
      <c r="M52" s="1516" t="s">
        <v>1397</v>
      </c>
      <c r="N52" s="1689" t="s">
        <v>116</v>
      </c>
      <c r="O52" s="1644"/>
      <c r="P52" s="245" t="b">
        <f t="shared" si="3"/>
        <v>0</v>
      </c>
      <c r="R52" s="245" t="b">
        <f t="shared" si="1"/>
        <v>0</v>
      </c>
      <c r="AO52" s="238" t="str">
        <f t="shared" si="2"/>
        <v>SG12</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167</v>
      </c>
      <c r="D53" s="1511" t="s">
        <v>145</v>
      </c>
      <c r="E53" s="1512"/>
      <c r="F53" s="1513">
        <v>1027</v>
      </c>
      <c r="G53" s="1514">
        <v>43</v>
      </c>
      <c r="H53" s="1515">
        <v>4.875</v>
      </c>
      <c r="I53" s="1513"/>
      <c r="J53" s="1514"/>
      <c r="K53" s="1515"/>
      <c r="L53" s="1516" t="s">
        <v>703</v>
      </c>
      <c r="M53" s="1516" t="s">
        <v>1397</v>
      </c>
      <c r="N53" s="1689" t="s">
        <v>116</v>
      </c>
      <c r="O53" s="1644"/>
      <c r="P53" s="245" t="b">
        <f t="shared" si="3"/>
        <v>0</v>
      </c>
      <c r="R53" s="245" t="b">
        <f t="shared" si="1"/>
        <v>0</v>
      </c>
      <c r="AO53" s="238" t="str">
        <f t="shared" si="2"/>
        <v>SG12</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1027</v>
      </c>
      <c r="G54" s="1514">
        <v>49</v>
      </c>
      <c r="H54" s="1515">
        <v>7.6250000000000009</v>
      </c>
      <c r="I54" s="1513"/>
      <c r="J54" s="1514"/>
      <c r="K54" s="1515"/>
      <c r="L54" s="1516" t="s">
        <v>703</v>
      </c>
      <c r="M54" s="1516" t="s">
        <v>1397</v>
      </c>
      <c r="N54" s="1689" t="s">
        <v>116</v>
      </c>
      <c r="O54" s="1644"/>
      <c r="P54" s="245" t="b">
        <f t="shared" si="3"/>
        <v>0</v>
      </c>
      <c r="R54" s="245" t="b">
        <f t="shared" si="1"/>
        <v>0</v>
      </c>
      <c r="AO54" s="238" t="str">
        <f t="shared" si="2"/>
        <v>SG12</v>
      </c>
      <c r="AP54" s="945" t="b">
        <v>0</v>
      </c>
      <c r="AQ54" s="1322"/>
      <c r="AR54" s="1323"/>
      <c r="AS54" s="1323"/>
      <c r="AT54" s="1323"/>
      <c r="AU54" s="1323"/>
      <c r="AV54" s="1323"/>
      <c r="AW54" s="1323"/>
      <c r="AX54" s="1323"/>
      <c r="AY54" s="1323"/>
      <c r="AZ54" s="1323"/>
      <c r="BA54" s="1532"/>
      <c r="BB54" s="1532"/>
      <c r="BC54" s="1533"/>
    </row>
    <row r="55" spans="1:55" ht="14.1" customHeight="1" x14ac:dyDescent="0.2">
      <c r="A55" s="1519" t="s">
        <v>1890</v>
      </c>
      <c r="B55" s="1520" t="s">
        <v>154</v>
      </c>
      <c r="C55" s="1520" t="s">
        <v>165</v>
      </c>
      <c r="D55" s="1520" t="s">
        <v>145</v>
      </c>
      <c r="E55" s="1521"/>
      <c r="F55" s="1522">
        <v>1100</v>
      </c>
      <c r="G55" s="1523"/>
      <c r="H55" s="1524"/>
      <c r="I55" s="1522"/>
      <c r="J55" s="1523"/>
      <c r="K55" s="1524"/>
      <c r="L55" s="1525" t="s">
        <v>116</v>
      </c>
      <c r="M55" s="1525" t="s">
        <v>1397</v>
      </c>
      <c r="N55" s="1690"/>
      <c r="O55" s="1644"/>
      <c r="P55" s="245" t="b">
        <f t="shared" si="3"/>
        <v>0</v>
      </c>
      <c r="R55" s="245" t="b">
        <f t="shared" si="1"/>
        <v>1</v>
      </c>
      <c r="AO55" s="238" t="str">
        <f t="shared" si="2"/>
        <v>SG14</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9" priority="4" stopIfTrue="1">
      <formula>AND($B14="NU",F14&lt;0)</formula>
    </cfRule>
  </conditionalFormatting>
  <conditionalFormatting sqref="B14:B55">
    <cfRule type="expression" dxfId="78" priority="5" stopIfTrue="1">
      <formula>OR(AND($B14="NU",F14&lt;0),AND($B14="NU",I14&lt;0))</formula>
    </cfRule>
  </conditionalFormatting>
  <conditionalFormatting sqref="G14:H55 J14:L55">
    <cfRule type="expression" dxfId="77" priority="6" stopIfTrue="1">
      <formula>$R14</formula>
    </cfRule>
  </conditionalFormatting>
  <conditionalFormatting sqref="I2:K4">
    <cfRule type="cellIs" dxfId="76" priority="7" stopIfTrue="1" operator="equal">
      <formula>""</formula>
    </cfRule>
  </conditionalFormatting>
  <conditionalFormatting sqref="I14:I55">
    <cfRule type="expression" dxfId="75" priority="8" stopIfTrue="1">
      <formula>OR($R14,$B14="CZ",AND($B14="NU",I14&lt;0))</formula>
    </cfRule>
  </conditionalFormatting>
  <conditionalFormatting sqref="A14:A55">
    <cfRule type="expression" dxfId="74" priority="3">
      <formula>NOT($P14)</formula>
    </cfRule>
  </conditionalFormatting>
  <conditionalFormatting sqref="B14:D55">
    <cfRule type="expression" dxfId="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2" priority="9">
      <formula>AND(NOT($P14),$T$1)</formula>
    </cfRule>
    <cfRule type="expression" dxfId="71" priority="10">
      <formula>AND($AP14,$S$1="M")</formula>
    </cfRule>
  </conditionalFormatting>
  <conditionalFormatting sqref="L14:L55">
    <cfRule type="expression" dxfId="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85A340FC-38E5-48F5-9004-E9B4133E996A}">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8169953A-CBCF-4004-9DBA-FBA76543B69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1A08BCF5-8AC7-4A31-8E2D-A8C79FF326C7}">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60110F21-23A8-4234-B1FD-EEA174F1CC89}">
      <formula1>IF($CA$14,$CA$16:$CA$21,$CB$16:$CB$19)</formula1>
    </dataValidation>
    <dataValidation type="list" allowBlank="1" showErrorMessage="1" errorTitle="Invalid Type" error="You MUST select a Type from the dropdown list provided._x000a__x000a_Also, make sure your Cap Lock is turned on." sqref="B14:B55" xr:uid="{E105A221-8904-4379-9D2E-2BDF06BC4BC7}">
      <formula1>$BF$15:$BU$15</formula1>
    </dataValidation>
    <dataValidation allowBlank="1" showInputMessage="1" errorTitle="Invalid Load Case" error="You MUST use a Load Case from the list provided." sqref="M14:M55" xr:uid="{2AC838C1-89DA-4EF4-ADCE-D94C99C7BCB0}"/>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A283D-5BA0-49B8-9CB9-BEF1AC3DC8FB}">
  <sheetPr codeName="Sheet4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1320</v>
      </c>
      <c r="G14" s="1506">
        <v>43</v>
      </c>
      <c r="H14" s="1507">
        <v>6.875</v>
      </c>
      <c r="I14" s="1505">
        <v>1320</v>
      </c>
      <c r="J14" s="1506">
        <v>49</v>
      </c>
      <c r="K14" s="1507">
        <v>9.625</v>
      </c>
      <c r="L14" s="1508" t="s">
        <v>700</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5659</v>
      </c>
      <c r="G15" s="1514">
        <v>6</v>
      </c>
      <c r="H15" s="1515">
        <v>0.375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5659</v>
      </c>
      <c r="G16" s="1514">
        <v>12</v>
      </c>
      <c r="H16" s="1515">
        <v>3.125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5659</v>
      </c>
      <c r="G17" s="1514">
        <v>18</v>
      </c>
      <c r="H17" s="1515">
        <v>5.875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5659</v>
      </c>
      <c r="G18" s="1514">
        <v>24</v>
      </c>
      <c r="H18" s="1515">
        <v>8.625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5659</v>
      </c>
      <c r="G19" s="1514">
        <v>30</v>
      </c>
      <c r="H19" s="1515">
        <v>11.375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5659</v>
      </c>
      <c r="G20" s="1514">
        <v>37</v>
      </c>
      <c r="H20" s="1515">
        <v>2.1249999999999991</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5659</v>
      </c>
      <c r="G21" s="1514">
        <v>43</v>
      </c>
      <c r="H21" s="1515">
        <v>4.875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5659</v>
      </c>
      <c r="G22" s="1514">
        <v>49</v>
      </c>
      <c r="H22" s="1515">
        <v>7.6250000000000009</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167</v>
      </c>
      <c r="D23" s="1511" t="s">
        <v>145</v>
      </c>
      <c r="E23" s="1512"/>
      <c r="F23" s="1513">
        <v>1027</v>
      </c>
      <c r="G23" s="1514">
        <v>6</v>
      </c>
      <c r="H23" s="1515">
        <v>0.375</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1027</v>
      </c>
      <c r="G24" s="1514">
        <v>12</v>
      </c>
      <c r="H24" s="1515">
        <v>3.125</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1027</v>
      </c>
      <c r="G25" s="1514">
        <v>18</v>
      </c>
      <c r="H25" s="1515">
        <v>5.875</v>
      </c>
      <c r="I25" s="1513"/>
      <c r="J25" s="1514"/>
      <c r="K25" s="1515"/>
      <c r="L25" s="1516" t="s">
        <v>703</v>
      </c>
      <c r="M25" s="1517" t="s">
        <v>1397</v>
      </c>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167</v>
      </c>
      <c r="D26" s="1511" t="s">
        <v>145</v>
      </c>
      <c r="E26" s="1512"/>
      <c r="F26" s="1513">
        <v>1027</v>
      </c>
      <c r="G26" s="1514">
        <v>24</v>
      </c>
      <c r="H26" s="1515">
        <v>8.625</v>
      </c>
      <c r="I26" s="1513"/>
      <c r="J26" s="1514"/>
      <c r="K26" s="1515"/>
      <c r="L26" s="1516" t="s">
        <v>703</v>
      </c>
      <c r="M26" s="1517" t="s">
        <v>1397</v>
      </c>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1027</v>
      </c>
      <c r="G27" s="1514">
        <v>30</v>
      </c>
      <c r="H27" s="1515">
        <v>11.375</v>
      </c>
      <c r="I27" s="1513"/>
      <c r="J27" s="1514"/>
      <c r="K27" s="1515"/>
      <c r="L27" s="1516" t="s">
        <v>703</v>
      </c>
      <c r="M27" s="1517" t="s">
        <v>1397</v>
      </c>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1027</v>
      </c>
      <c r="G28" s="1514">
        <v>37</v>
      </c>
      <c r="H28" s="1515">
        <v>2.1249999999999991</v>
      </c>
      <c r="I28" s="1513"/>
      <c r="J28" s="1514"/>
      <c r="K28" s="1515"/>
      <c r="L28" s="1516" t="s">
        <v>703</v>
      </c>
      <c r="M28" s="1517" t="s">
        <v>1397</v>
      </c>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167</v>
      </c>
      <c r="D29" s="1511" t="s">
        <v>145</v>
      </c>
      <c r="E29" s="1512"/>
      <c r="F29" s="1513">
        <v>1027</v>
      </c>
      <c r="G29" s="1514">
        <v>43</v>
      </c>
      <c r="H29" s="1515">
        <v>4.875</v>
      </c>
      <c r="I29" s="1513"/>
      <c r="J29" s="1514"/>
      <c r="K29" s="1515"/>
      <c r="L29" s="1516" t="s">
        <v>703</v>
      </c>
      <c r="M29" s="1517" t="s">
        <v>1397</v>
      </c>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1027</v>
      </c>
      <c r="G30" s="1514">
        <v>49</v>
      </c>
      <c r="H30" s="1515">
        <v>7.6250000000000009</v>
      </c>
      <c r="I30" s="1513"/>
      <c r="J30" s="1514"/>
      <c r="K30" s="1515"/>
      <c r="L30" s="1516" t="s">
        <v>703</v>
      </c>
      <c r="M30" s="1517" t="s">
        <v>1397</v>
      </c>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1891</v>
      </c>
      <c r="B31" s="1511" t="s">
        <v>154</v>
      </c>
      <c r="C31" s="1511" t="s">
        <v>165</v>
      </c>
      <c r="D31" s="1511" t="s">
        <v>145</v>
      </c>
      <c r="E31" s="1512"/>
      <c r="F31" s="1513">
        <v>1100</v>
      </c>
      <c r="G31" s="1514"/>
      <c r="H31" s="1515"/>
      <c r="I31" s="1513"/>
      <c r="J31" s="1514"/>
      <c r="K31" s="1515"/>
      <c r="L31" s="1516" t="s">
        <v>116</v>
      </c>
      <c r="M31" s="1516" t="s">
        <v>1397</v>
      </c>
      <c r="N31" s="1689" t="s">
        <v>116</v>
      </c>
      <c r="O31" s="1644"/>
      <c r="P31" s="245" t="b">
        <f t="shared" si="3"/>
        <v>0</v>
      </c>
      <c r="R31" s="245" t="b">
        <f t="shared" si="1"/>
        <v>1</v>
      </c>
      <c r="AO31" s="238" t="str">
        <f t="shared" si="2"/>
        <v>SG15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154</v>
      </c>
      <c r="C32" s="1511" t="s">
        <v>165</v>
      </c>
      <c r="D32" s="1511" t="s">
        <v>145</v>
      </c>
      <c r="E32" s="1512"/>
      <c r="F32" s="1513">
        <v>1320</v>
      </c>
      <c r="G32" s="1514"/>
      <c r="H32" s="1515"/>
      <c r="I32" s="1513"/>
      <c r="J32" s="1514"/>
      <c r="K32" s="1515"/>
      <c r="L32" s="1516" t="s">
        <v>116</v>
      </c>
      <c r="M32" s="1516" t="s">
        <v>1397</v>
      </c>
      <c r="N32" s="1689" t="s">
        <v>116</v>
      </c>
      <c r="O32" s="1644"/>
      <c r="P32" s="245" t="b">
        <f t="shared" si="3"/>
        <v>0</v>
      </c>
      <c r="R32" s="245" t="b">
        <f t="shared" si="1"/>
        <v>1</v>
      </c>
      <c r="AO32" s="238" t="str">
        <f t="shared" si="2"/>
        <v>SG15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153</v>
      </c>
      <c r="C33" s="1511" t="s">
        <v>165</v>
      </c>
      <c r="D33" s="1511" t="s">
        <v>145</v>
      </c>
      <c r="E33" s="1512"/>
      <c r="F33" s="1513">
        <v>13800</v>
      </c>
      <c r="G33" s="1514">
        <v>54</v>
      </c>
      <c r="H33" s="1515">
        <v>8</v>
      </c>
      <c r="I33" s="1513"/>
      <c r="J33" s="1514"/>
      <c r="K33" s="1515"/>
      <c r="L33" s="1516" t="s">
        <v>703</v>
      </c>
      <c r="M33" s="1516" t="s">
        <v>1397</v>
      </c>
      <c r="N33" s="1689" t="s">
        <v>116</v>
      </c>
      <c r="O33" s="1644"/>
      <c r="P33" s="245" t="b">
        <f t="shared" si="3"/>
        <v>0</v>
      </c>
      <c r="R33" s="245" t="b">
        <f t="shared" si="1"/>
        <v>0</v>
      </c>
      <c r="AO33" s="238" t="str">
        <f t="shared" si="2"/>
        <v>SG15</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5659</v>
      </c>
      <c r="G34" s="1514">
        <v>6</v>
      </c>
      <c r="H34" s="1515">
        <v>0.375</v>
      </c>
      <c r="I34" s="1513"/>
      <c r="J34" s="1514"/>
      <c r="K34" s="1515"/>
      <c r="L34" s="1516" t="s">
        <v>703</v>
      </c>
      <c r="M34" s="1516" t="s">
        <v>1397</v>
      </c>
      <c r="N34" s="1689" t="s">
        <v>116</v>
      </c>
      <c r="O34" s="1644"/>
      <c r="P34" s="245" t="b">
        <f t="shared" si="3"/>
        <v>0</v>
      </c>
      <c r="R34" s="245" t="b">
        <f t="shared" si="1"/>
        <v>0</v>
      </c>
      <c r="AO34" s="238" t="str">
        <f t="shared" si="2"/>
        <v>SG15</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5659</v>
      </c>
      <c r="G35" s="1514">
        <v>12</v>
      </c>
      <c r="H35" s="1515">
        <v>3.125</v>
      </c>
      <c r="I35" s="1513"/>
      <c r="J35" s="1514"/>
      <c r="K35" s="1515"/>
      <c r="L35" s="1516" t="s">
        <v>703</v>
      </c>
      <c r="M35" s="1516" t="s">
        <v>1397</v>
      </c>
      <c r="N35" s="1689" t="s">
        <v>116</v>
      </c>
      <c r="O35" s="1644"/>
      <c r="P35" s="245" t="b">
        <f t="shared" si="3"/>
        <v>0</v>
      </c>
      <c r="R35" s="245" t="b">
        <f t="shared" si="1"/>
        <v>0</v>
      </c>
      <c r="AO35" s="238" t="str">
        <f t="shared" si="2"/>
        <v>SG15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5659</v>
      </c>
      <c r="G36" s="1514">
        <v>18</v>
      </c>
      <c r="H36" s="1515">
        <v>5.875</v>
      </c>
      <c r="I36" s="1513"/>
      <c r="J36" s="1514"/>
      <c r="K36" s="1515"/>
      <c r="L36" s="1516" t="s">
        <v>703</v>
      </c>
      <c r="M36" s="1516" t="s">
        <v>1397</v>
      </c>
      <c r="N36" s="1689" t="s">
        <v>116</v>
      </c>
      <c r="O36" s="1644"/>
      <c r="P36" s="245" t="b">
        <f t="shared" si="3"/>
        <v>0</v>
      </c>
      <c r="R36" s="245" t="b">
        <f t="shared" si="1"/>
        <v>0</v>
      </c>
      <c r="AO36" s="238" t="str">
        <f t="shared" si="2"/>
        <v>SG15</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5659</v>
      </c>
      <c r="G37" s="1514">
        <v>24</v>
      </c>
      <c r="H37" s="1515">
        <v>8.625</v>
      </c>
      <c r="I37" s="1513"/>
      <c r="J37" s="1514"/>
      <c r="K37" s="1515"/>
      <c r="L37" s="1516" t="s">
        <v>703</v>
      </c>
      <c r="M37" s="1516" t="s">
        <v>1397</v>
      </c>
      <c r="N37" s="1689" t="s">
        <v>116</v>
      </c>
      <c r="O37" s="1644"/>
      <c r="P37" s="245" t="b">
        <f t="shared" si="3"/>
        <v>0</v>
      </c>
      <c r="R37" s="245" t="b">
        <f t="shared" si="1"/>
        <v>0</v>
      </c>
      <c r="AO37" s="238" t="str">
        <f t="shared" si="2"/>
        <v>SG15</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5659</v>
      </c>
      <c r="G38" s="1514">
        <v>30</v>
      </c>
      <c r="H38" s="1515">
        <v>11.375</v>
      </c>
      <c r="I38" s="1513"/>
      <c r="J38" s="1514"/>
      <c r="K38" s="1515"/>
      <c r="L38" s="1516" t="s">
        <v>703</v>
      </c>
      <c r="M38" s="1516" t="s">
        <v>1397</v>
      </c>
      <c r="N38" s="1689" t="s">
        <v>116</v>
      </c>
      <c r="O38" s="1644"/>
      <c r="P38" s="245" t="b">
        <f t="shared" si="3"/>
        <v>0</v>
      </c>
      <c r="R38" s="245" t="b">
        <f t="shared" si="1"/>
        <v>0</v>
      </c>
      <c r="AO38" s="238" t="str">
        <f t="shared" si="2"/>
        <v>SG15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5659</v>
      </c>
      <c r="G39" s="1514">
        <v>37</v>
      </c>
      <c r="H39" s="1515">
        <v>2.1249999999999991</v>
      </c>
      <c r="I39" s="1513"/>
      <c r="J39" s="1514"/>
      <c r="K39" s="1515"/>
      <c r="L39" s="1516" t="s">
        <v>703</v>
      </c>
      <c r="M39" s="1516" t="s">
        <v>1397</v>
      </c>
      <c r="N39" s="1689" t="s">
        <v>116</v>
      </c>
      <c r="O39" s="1644"/>
      <c r="P39" s="245" t="b">
        <f t="shared" si="3"/>
        <v>0</v>
      </c>
      <c r="R39" s="245" t="b">
        <f t="shared" si="1"/>
        <v>0</v>
      </c>
      <c r="AO39" s="238" t="str">
        <f t="shared" si="2"/>
        <v>SG15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5659</v>
      </c>
      <c r="G40" s="1514">
        <v>43</v>
      </c>
      <c r="H40" s="1515">
        <v>4.875</v>
      </c>
      <c r="I40" s="1513"/>
      <c r="J40" s="1514"/>
      <c r="K40" s="1515"/>
      <c r="L40" s="1516" t="s">
        <v>703</v>
      </c>
      <c r="M40" s="1516" t="s">
        <v>1397</v>
      </c>
      <c r="N40" s="1689" t="s">
        <v>116</v>
      </c>
      <c r="O40" s="1644"/>
      <c r="P40" s="245" t="b">
        <f t="shared" si="3"/>
        <v>0</v>
      </c>
      <c r="R40" s="245" t="b">
        <f t="shared" si="1"/>
        <v>0</v>
      </c>
      <c r="AO40" s="238" t="str">
        <f t="shared" si="2"/>
        <v>SG15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5659</v>
      </c>
      <c r="G41" s="1514">
        <v>49</v>
      </c>
      <c r="H41" s="1515">
        <v>7.6250000000000009</v>
      </c>
      <c r="I41" s="1513"/>
      <c r="J41" s="1514"/>
      <c r="K41" s="1515"/>
      <c r="L41" s="1516" t="s">
        <v>703</v>
      </c>
      <c r="M41" s="1516" t="s">
        <v>1397</v>
      </c>
      <c r="N41" s="1689" t="s">
        <v>116</v>
      </c>
      <c r="O41" s="1644"/>
      <c r="P41" s="245" t="b">
        <f t="shared" si="3"/>
        <v>0</v>
      </c>
      <c r="R41" s="245" t="b">
        <f t="shared" si="1"/>
        <v>0</v>
      </c>
      <c r="AO41" s="238" t="str">
        <f t="shared" si="2"/>
        <v>SG15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167</v>
      </c>
      <c r="D42" s="1511" t="s">
        <v>145</v>
      </c>
      <c r="E42" s="1512"/>
      <c r="F42" s="1513">
        <v>1027</v>
      </c>
      <c r="G42" s="1514">
        <v>6</v>
      </c>
      <c r="H42" s="1515">
        <v>0.375</v>
      </c>
      <c r="I42" s="1513"/>
      <c r="J42" s="1514"/>
      <c r="K42" s="1515"/>
      <c r="L42" s="1516" t="s">
        <v>703</v>
      </c>
      <c r="M42" s="1516" t="s">
        <v>1397</v>
      </c>
      <c r="N42" s="1689" t="s">
        <v>116</v>
      </c>
      <c r="O42" s="1644"/>
      <c r="P42" s="245" t="b">
        <f t="shared" si="3"/>
        <v>0</v>
      </c>
      <c r="R42" s="245" t="b">
        <f t="shared" si="1"/>
        <v>0</v>
      </c>
      <c r="AO42" s="238" t="str">
        <f t="shared" si="2"/>
        <v>SG15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167</v>
      </c>
      <c r="D43" s="1511" t="s">
        <v>145</v>
      </c>
      <c r="E43" s="1512"/>
      <c r="F43" s="1513">
        <v>1027</v>
      </c>
      <c r="G43" s="1514">
        <v>12</v>
      </c>
      <c r="H43" s="1515">
        <v>3.125</v>
      </c>
      <c r="I43" s="1513"/>
      <c r="J43" s="1514"/>
      <c r="K43" s="1515"/>
      <c r="L43" s="1516" t="s">
        <v>703</v>
      </c>
      <c r="M43" s="1516" t="s">
        <v>1397</v>
      </c>
      <c r="N43" s="1689" t="s">
        <v>116</v>
      </c>
      <c r="O43" s="1644"/>
      <c r="P43" s="245" t="b">
        <f t="shared" si="3"/>
        <v>0</v>
      </c>
      <c r="R43" s="245" t="b">
        <f t="shared" si="1"/>
        <v>0</v>
      </c>
      <c r="AO43" s="238" t="str">
        <f t="shared" si="2"/>
        <v>SG15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167</v>
      </c>
      <c r="D44" s="1511" t="s">
        <v>145</v>
      </c>
      <c r="E44" s="1512"/>
      <c r="F44" s="1513">
        <v>1027</v>
      </c>
      <c r="G44" s="1514">
        <v>18</v>
      </c>
      <c r="H44" s="1515">
        <v>5.875</v>
      </c>
      <c r="I44" s="1513"/>
      <c r="J44" s="1514"/>
      <c r="K44" s="1515"/>
      <c r="L44" s="1516" t="s">
        <v>703</v>
      </c>
      <c r="M44" s="1516" t="s">
        <v>1397</v>
      </c>
      <c r="N44" s="1689" t="s">
        <v>116</v>
      </c>
      <c r="O44" s="1644"/>
      <c r="P44" s="245" t="b">
        <f t="shared" si="3"/>
        <v>0</v>
      </c>
      <c r="R44" s="245" t="b">
        <f t="shared" si="1"/>
        <v>0</v>
      </c>
      <c r="AO44" s="238" t="str">
        <f t="shared" si="2"/>
        <v>SG15</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167</v>
      </c>
      <c r="D45" s="1511" t="s">
        <v>145</v>
      </c>
      <c r="E45" s="1512"/>
      <c r="F45" s="1513">
        <v>1027</v>
      </c>
      <c r="G45" s="1514">
        <v>24</v>
      </c>
      <c r="H45" s="1515">
        <v>8.625</v>
      </c>
      <c r="I45" s="1513"/>
      <c r="J45" s="1514"/>
      <c r="K45" s="1515"/>
      <c r="L45" s="1516" t="s">
        <v>703</v>
      </c>
      <c r="M45" s="1516" t="s">
        <v>1397</v>
      </c>
      <c r="N45" s="1689" t="s">
        <v>116</v>
      </c>
      <c r="O45" s="1644"/>
      <c r="P45" s="245" t="b">
        <f t="shared" si="3"/>
        <v>0</v>
      </c>
      <c r="R45" s="245" t="b">
        <f t="shared" si="1"/>
        <v>0</v>
      </c>
      <c r="AO45" s="238" t="str">
        <f t="shared" si="2"/>
        <v>SG15</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167</v>
      </c>
      <c r="D46" s="1511" t="s">
        <v>145</v>
      </c>
      <c r="E46" s="1512"/>
      <c r="F46" s="1513">
        <v>1027</v>
      </c>
      <c r="G46" s="1514">
        <v>30</v>
      </c>
      <c r="H46" s="1515">
        <v>11.375</v>
      </c>
      <c r="I46" s="1513"/>
      <c r="J46" s="1514"/>
      <c r="K46" s="1515"/>
      <c r="L46" s="1516" t="s">
        <v>703</v>
      </c>
      <c r="M46" s="1516" t="s">
        <v>1397</v>
      </c>
      <c r="N46" s="1689" t="s">
        <v>116</v>
      </c>
      <c r="O46" s="1644"/>
      <c r="P46" s="245" t="b">
        <f t="shared" si="3"/>
        <v>0</v>
      </c>
      <c r="R46" s="245" t="b">
        <f t="shared" si="1"/>
        <v>0</v>
      </c>
      <c r="AO46" s="238" t="str">
        <f t="shared" si="2"/>
        <v>SG15</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167</v>
      </c>
      <c r="D47" s="1511" t="s">
        <v>145</v>
      </c>
      <c r="E47" s="1512"/>
      <c r="F47" s="1513">
        <v>1027</v>
      </c>
      <c r="G47" s="1514">
        <v>37</v>
      </c>
      <c r="H47" s="1515">
        <v>2.1249999999999991</v>
      </c>
      <c r="I47" s="1513"/>
      <c r="J47" s="1514"/>
      <c r="K47" s="1515"/>
      <c r="L47" s="1516" t="s">
        <v>703</v>
      </c>
      <c r="M47" s="1516" t="s">
        <v>1397</v>
      </c>
      <c r="N47" s="1689" t="s">
        <v>116</v>
      </c>
      <c r="O47" s="1644"/>
      <c r="P47" s="245" t="b">
        <f t="shared" si="3"/>
        <v>0</v>
      </c>
      <c r="R47" s="245" t="b">
        <f t="shared" si="1"/>
        <v>0</v>
      </c>
      <c r="AO47" s="238" t="str">
        <f t="shared" si="2"/>
        <v>SG15</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167</v>
      </c>
      <c r="D48" s="1511" t="s">
        <v>145</v>
      </c>
      <c r="E48" s="1512"/>
      <c r="F48" s="1513">
        <v>1027</v>
      </c>
      <c r="G48" s="1514">
        <v>43</v>
      </c>
      <c r="H48" s="1515">
        <v>4.875</v>
      </c>
      <c r="I48" s="1513"/>
      <c r="J48" s="1514"/>
      <c r="K48" s="1515"/>
      <c r="L48" s="1516" t="s">
        <v>703</v>
      </c>
      <c r="M48" s="1516" t="s">
        <v>1397</v>
      </c>
      <c r="N48" s="1689" t="s">
        <v>116</v>
      </c>
      <c r="O48" s="1644"/>
      <c r="P48" s="245" t="b">
        <f t="shared" si="3"/>
        <v>0</v>
      </c>
      <c r="R48" s="245" t="b">
        <f t="shared" si="1"/>
        <v>0</v>
      </c>
      <c r="AO48" s="238" t="str">
        <f t="shared" si="2"/>
        <v>SG15</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1027</v>
      </c>
      <c r="G49" s="1514">
        <v>49</v>
      </c>
      <c r="H49" s="1515">
        <v>7.6250000000000009</v>
      </c>
      <c r="I49" s="1513"/>
      <c r="J49" s="1514"/>
      <c r="K49" s="1515"/>
      <c r="L49" s="1516" t="s">
        <v>703</v>
      </c>
      <c r="M49" s="1516" t="s">
        <v>1397</v>
      </c>
      <c r="N49" s="1689" t="s">
        <v>116</v>
      </c>
      <c r="O49" s="1644"/>
      <c r="P49" s="245" t="b">
        <f t="shared" si="3"/>
        <v>0</v>
      </c>
      <c r="R49" s="245" t="b">
        <f t="shared" si="1"/>
        <v>0</v>
      </c>
      <c r="AO49" s="238" t="str">
        <f t="shared" si="2"/>
        <v>SG15</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1892</v>
      </c>
      <c r="B50" s="1511" t="s">
        <v>148</v>
      </c>
      <c r="C50" s="1511" t="s">
        <v>163</v>
      </c>
      <c r="D50" s="1511" t="s">
        <v>145</v>
      </c>
      <c r="E50" s="1512"/>
      <c r="F50" s="1513">
        <v>20100</v>
      </c>
      <c r="G50" s="1514">
        <v>6</v>
      </c>
      <c r="H50" s="1515">
        <v>3.125</v>
      </c>
      <c r="I50" s="1513">
        <v>15400</v>
      </c>
      <c r="J50" s="1514">
        <v>12</v>
      </c>
      <c r="K50" s="1515">
        <v>5.875</v>
      </c>
      <c r="L50" s="1516" t="s">
        <v>702</v>
      </c>
      <c r="M50" s="1516" t="s">
        <v>1397</v>
      </c>
      <c r="N50" s="1689" t="s">
        <v>116</v>
      </c>
      <c r="O50" s="1644"/>
      <c r="P50" s="245" t="b">
        <f t="shared" si="3"/>
        <v>0</v>
      </c>
      <c r="R50" s="245" t="b">
        <f t="shared" si="1"/>
        <v>0</v>
      </c>
      <c r="AO50" s="238" t="str">
        <f t="shared" si="2"/>
        <v>SG17</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163</v>
      </c>
      <c r="D51" s="1511" t="s">
        <v>145</v>
      </c>
      <c r="E51" s="1512"/>
      <c r="F51" s="1513">
        <v>10800</v>
      </c>
      <c r="G51" s="1514">
        <v>18</v>
      </c>
      <c r="H51" s="1515">
        <v>8.625</v>
      </c>
      <c r="I51" s="1513">
        <v>6100</v>
      </c>
      <c r="J51" s="1514">
        <v>24</v>
      </c>
      <c r="K51" s="1515">
        <v>11.375</v>
      </c>
      <c r="L51" s="1516" t="s">
        <v>702</v>
      </c>
      <c r="M51" s="1516" t="s">
        <v>1397</v>
      </c>
      <c r="N51" s="1689" t="s">
        <v>116</v>
      </c>
      <c r="O51" s="1644"/>
      <c r="P51" s="245" t="b">
        <f t="shared" si="3"/>
        <v>0</v>
      </c>
      <c r="R51" s="245" t="b">
        <f t="shared" si="1"/>
        <v>0</v>
      </c>
      <c r="AO51" s="238" t="str">
        <f t="shared" si="2"/>
        <v>SG17</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163</v>
      </c>
      <c r="D52" s="1511" t="s">
        <v>145</v>
      </c>
      <c r="E52" s="1512"/>
      <c r="F52" s="1513">
        <v>1575</v>
      </c>
      <c r="G52" s="1514">
        <v>31</v>
      </c>
      <c r="H52" s="1515">
        <v>2.125</v>
      </c>
      <c r="I52" s="1513"/>
      <c r="J52" s="1514"/>
      <c r="K52" s="1515"/>
      <c r="L52" s="1516" t="s">
        <v>702</v>
      </c>
      <c r="M52" s="1516" t="s">
        <v>1397</v>
      </c>
      <c r="N52" s="1689" t="s">
        <v>116</v>
      </c>
      <c r="O52" s="1644"/>
      <c r="P52" s="245" t="b">
        <f t="shared" si="3"/>
        <v>0</v>
      </c>
      <c r="R52" s="245" t="b">
        <f t="shared" si="1"/>
        <v>0</v>
      </c>
      <c r="AO52" s="238" t="str">
        <f t="shared" si="2"/>
        <v>SG17</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154</v>
      </c>
      <c r="C53" s="1511" t="s">
        <v>165</v>
      </c>
      <c r="D53" s="1511" t="s">
        <v>145</v>
      </c>
      <c r="E53" s="1512"/>
      <c r="F53" s="1513">
        <v>1100</v>
      </c>
      <c r="G53" s="1514"/>
      <c r="H53" s="1515"/>
      <c r="I53" s="1513"/>
      <c r="J53" s="1514"/>
      <c r="K53" s="1515"/>
      <c r="L53" s="1516" t="s">
        <v>116</v>
      </c>
      <c r="M53" s="1516" t="s">
        <v>1397</v>
      </c>
      <c r="N53" s="1689" t="s">
        <v>116</v>
      </c>
      <c r="O53" s="1644"/>
      <c r="P53" s="245" t="b">
        <f t="shared" si="3"/>
        <v>0</v>
      </c>
      <c r="R53" s="245" t="b">
        <f t="shared" si="1"/>
        <v>1</v>
      </c>
      <c r="AO53" s="238" t="str">
        <f t="shared" si="2"/>
        <v>SG17</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154</v>
      </c>
      <c r="C54" s="1511" t="s">
        <v>165</v>
      </c>
      <c r="D54" s="1511" t="s">
        <v>145</v>
      </c>
      <c r="E54" s="1512"/>
      <c r="F54" s="1513">
        <v>1320</v>
      </c>
      <c r="G54" s="1514"/>
      <c r="H54" s="1515"/>
      <c r="I54" s="1513"/>
      <c r="J54" s="1514"/>
      <c r="K54" s="1515"/>
      <c r="L54" s="1516" t="s">
        <v>116</v>
      </c>
      <c r="M54" s="1516" t="s">
        <v>1397</v>
      </c>
      <c r="N54" s="1689" t="s">
        <v>116</v>
      </c>
      <c r="O54" s="1644"/>
      <c r="P54" s="245" t="b">
        <f t="shared" si="3"/>
        <v>0</v>
      </c>
      <c r="R54" s="245" t="b">
        <f t="shared" si="1"/>
        <v>1</v>
      </c>
      <c r="AO54" s="238" t="str">
        <f t="shared" si="2"/>
        <v>SG17</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7503</v>
      </c>
      <c r="G55" s="1523">
        <v>6</v>
      </c>
      <c r="H55" s="1524">
        <v>0.375</v>
      </c>
      <c r="I55" s="1522"/>
      <c r="J55" s="1523"/>
      <c r="K55" s="1524"/>
      <c r="L55" s="1525" t="s">
        <v>703</v>
      </c>
      <c r="M55" s="1525" t="s">
        <v>1397</v>
      </c>
      <c r="N55" s="1690"/>
      <c r="O55" s="1644"/>
      <c r="P55" s="245" t="b">
        <f t="shared" si="3"/>
        <v>0</v>
      </c>
      <c r="R55" s="245" t="b">
        <f t="shared" si="1"/>
        <v>0</v>
      </c>
      <c r="AO55" s="238" t="str">
        <f t="shared" si="2"/>
        <v>SG17</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9" priority="4" stopIfTrue="1">
      <formula>AND($B14="NU",F14&lt;0)</formula>
    </cfRule>
  </conditionalFormatting>
  <conditionalFormatting sqref="B14:B55">
    <cfRule type="expression" dxfId="68" priority="5" stopIfTrue="1">
      <formula>OR(AND($B14="NU",F14&lt;0),AND($B14="NU",I14&lt;0))</formula>
    </cfRule>
  </conditionalFormatting>
  <conditionalFormatting sqref="G14:H55 J14:L55">
    <cfRule type="expression" dxfId="67" priority="6" stopIfTrue="1">
      <formula>$R14</formula>
    </cfRule>
  </conditionalFormatting>
  <conditionalFormatting sqref="I2:K4">
    <cfRule type="cellIs" dxfId="66" priority="7" stopIfTrue="1" operator="equal">
      <formula>""</formula>
    </cfRule>
  </conditionalFormatting>
  <conditionalFormatting sqref="I14:I55">
    <cfRule type="expression" dxfId="65" priority="8" stopIfTrue="1">
      <formula>OR($R14,$B14="CZ",AND($B14="NU",I14&lt;0))</formula>
    </cfRule>
  </conditionalFormatting>
  <conditionalFormatting sqref="A14:A55">
    <cfRule type="expression" dxfId="64" priority="3">
      <formula>NOT($P14)</formula>
    </cfRule>
  </conditionalFormatting>
  <conditionalFormatting sqref="B14:D55">
    <cfRule type="expression" dxfId="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2" priority="9">
      <formula>AND(NOT($P14),$T$1)</formula>
    </cfRule>
    <cfRule type="expression" dxfId="61" priority="10">
      <formula>AND($AP14,$S$1="M")</formula>
    </cfRule>
  </conditionalFormatting>
  <conditionalFormatting sqref="L14:L55">
    <cfRule type="expression" dxfId="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F1A7FBA6-9E16-48CA-A764-EE70407BC88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C961F37-ABB7-4A92-B2C9-5252BD984A94}">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170B521-8FDE-4693-B32C-465EE530AAF5}">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226F7AB9-8667-415B-AE06-6E4B1E5EFC1A}">
      <formula1>IF($CA$14,$CA$16:$CA$21,$CB$16:$CB$19)</formula1>
    </dataValidation>
    <dataValidation type="list" allowBlank="1" showErrorMessage="1" errorTitle="Invalid Type" error="You MUST select a Type from the dropdown list provided._x000a__x000a_Also, make sure your Cap Lock is turned on." sqref="B14:B55" xr:uid="{B49D6072-EF41-46AC-9E82-297936A7AC7C}">
      <formula1>$BF$15:$BU$15</formula1>
    </dataValidation>
    <dataValidation allowBlank="1" showInputMessage="1" errorTitle="Invalid Load Case" error="You MUST use a Load Case from the list provided." sqref="M14:M55" xr:uid="{C29A835F-A667-4BAD-8781-473AA0ADD4BD}"/>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25F2-9D1B-49B5-9D35-3E669D52D5AC}">
  <sheetPr codeName="Sheet5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7503</v>
      </c>
      <c r="G14" s="1506">
        <v>12</v>
      </c>
      <c r="H14" s="1507">
        <v>3.125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7503</v>
      </c>
      <c r="G15" s="1514">
        <v>18</v>
      </c>
      <c r="H15" s="1515">
        <v>5.875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7503</v>
      </c>
      <c r="G16" s="1514">
        <v>24</v>
      </c>
      <c r="H16" s="1515">
        <v>8.625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7503</v>
      </c>
      <c r="G17" s="1514">
        <v>30</v>
      </c>
      <c r="H17" s="1515">
        <v>11.375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7503</v>
      </c>
      <c r="G18" s="1514">
        <v>37</v>
      </c>
      <c r="H18" s="1515">
        <v>2.1249999999999991</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7503</v>
      </c>
      <c r="G19" s="1514">
        <v>43</v>
      </c>
      <c r="H19" s="1515">
        <v>4.875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7503</v>
      </c>
      <c r="G20" s="1514">
        <v>49</v>
      </c>
      <c r="H20" s="1515">
        <v>7.6250000000000009</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167</v>
      </c>
      <c r="D21" s="1511" t="s">
        <v>145</v>
      </c>
      <c r="E21" s="1512"/>
      <c r="F21" s="1513">
        <v>1362</v>
      </c>
      <c r="G21" s="1514">
        <v>6</v>
      </c>
      <c r="H21" s="1515">
        <v>0.375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167</v>
      </c>
      <c r="D22" s="1511" t="s">
        <v>145</v>
      </c>
      <c r="E22" s="1512"/>
      <c r="F22" s="1513">
        <v>1362</v>
      </c>
      <c r="G22" s="1514">
        <v>12</v>
      </c>
      <c r="H22" s="1515">
        <v>3.125</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167</v>
      </c>
      <c r="D23" s="1511" t="s">
        <v>145</v>
      </c>
      <c r="E23" s="1512"/>
      <c r="F23" s="1513">
        <v>1362</v>
      </c>
      <c r="G23" s="1514">
        <v>18</v>
      </c>
      <c r="H23" s="1515">
        <v>5.875</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1362</v>
      </c>
      <c r="G24" s="1514">
        <v>24</v>
      </c>
      <c r="H24" s="1515">
        <v>8.625</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1362</v>
      </c>
      <c r="G25" s="1514">
        <v>30</v>
      </c>
      <c r="H25" s="1515">
        <v>11.375</v>
      </c>
      <c r="I25" s="1513"/>
      <c r="J25" s="1514"/>
      <c r="K25" s="1515"/>
      <c r="L25" s="1516" t="s">
        <v>703</v>
      </c>
      <c r="M25" s="1517" t="s">
        <v>1397</v>
      </c>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167</v>
      </c>
      <c r="D26" s="1511" t="s">
        <v>145</v>
      </c>
      <c r="E26" s="1512"/>
      <c r="F26" s="1513">
        <v>1362</v>
      </c>
      <c r="G26" s="1514">
        <v>37</v>
      </c>
      <c r="H26" s="1515">
        <v>2.1249999999999991</v>
      </c>
      <c r="I26" s="1513"/>
      <c r="J26" s="1514"/>
      <c r="K26" s="1515"/>
      <c r="L26" s="1516" t="s">
        <v>703</v>
      </c>
      <c r="M26" s="1517" t="s">
        <v>1397</v>
      </c>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1362</v>
      </c>
      <c r="G27" s="1514">
        <v>43</v>
      </c>
      <c r="H27" s="1515">
        <v>4.875</v>
      </c>
      <c r="I27" s="1513"/>
      <c r="J27" s="1514"/>
      <c r="K27" s="1515"/>
      <c r="L27" s="1516" t="s">
        <v>703</v>
      </c>
      <c r="M27" s="1517" t="s">
        <v>1397</v>
      </c>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1362</v>
      </c>
      <c r="G28" s="1514">
        <v>49</v>
      </c>
      <c r="H28" s="1515">
        <v>7.6250000000000009</v>
      </c>
      <c r="I28" s="1513"/>
      <c r="J28" s="1514"/>
      <c r="K28" s="1515"/>
      <c r="L28" s="1516" t="s">
        <v>703</v>
      </c>
      <c r="M28" s="1517" t="s">
        <v>1397</v>
      </c>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1893</v>
      </c>
      <c r="B29" s="1511" t="s">
        <v>154</v>
      </c>
      <c r="C29" s="1511" t="s">
        <v>165</v>
      </c>
      <c r="D29" s="1511" t="s">
        <v>145</v>
      </c>
      <c r="E29" s="1512"/>
      <c r="F29" s="1513">
        <v>2000</v>
      </c>
      <c r="G29" s="1514"/>
      <c r="H29" s="1515"/>
      <c r="I29" s="1513"/>
      <c r="J29" s="1514"/>
      <c r="K29" s="1515"/>
      <c r="L29" s="1516" t="s">
        <v>116</v>
      </c>
      <c r="M29" s="1517" t="s">
        <v>1397</v>
      </c>
      <c r="N29" s="1689"/>
      <c r="O29" s="1644"/>
      <c r="P29" s="245" t="b">
        <f t="shared" si="3"/>
        <v>0</v>
      </c>
      <c r="R29" s="245" t="b">
        <f t="shared" si="1"/>
        <v>1</v>
      </c>
      <c r="AO29" s="238" t="str">
        <f t="shared" si="2"/>
        <v>SG18</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7503</v>
      </c>
      <c r="G30" s="1514">
        <v>6</v>
      </c>
      <c r="H30" s="1515">
        <v>0.375</v>
      </c>
      <c r="I30" s="1513"/>
      <c r="J30" s="1514"/>
      <c r="K30" s="1515"/>
      <c r="L30" s="1516" t="s">
        <v>703</v>
      </c>
      <c r="M30" s="1517" t="s">
        <v>1397</v>
      </c>
      <c r="N30" s="1689" t="s">
        <v>116</v>
      </c>
      <c r="O30" s="1644"/>
      <c r="P30" s="245" t="b">
        <f t="shared" si="3"/>
        <v>0</v>
      </c>
      <c r="R30" s="245" t="b">
        <f t="shared" si="1"/>
        <v>0</v>
      </c>
      <c r="AO30" s="238" t="str">
        <f t="shared" si="2"/>
        <v>SG18</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7503</v>
      </c>
      <c r="G31" s="1514">
        <v>12</v>
      </c>
      <c r="H31" s="1515">
        <v>3.125</v>
      </c>
      <c r="I31" s="1513"/>
      <c r="J31" s="1514"/>
      <c r="K31" s="1515"/>
      <c r="L31" s="1516" t="s">
        <v>703</v>
      </c>
      <c r="M31" s="1516" t="s">
        <v>1397</v>
      </c>
      <c r="N31" s="1689" t="s">
        <v>116</v>
      </c>
      <c r="O31" s="1644"/>
      <c r="P31" s="245" t="b">
        <f t="shared" si="3"/>
        <v>0</v>
      </c>
      <c r="R31" s="245" t="b">
        <f t="shared" si="1"/>
        <v>0</v>
      </c>
      <c r="AO31" s="238" t="str">
        <f t="shared" si="2"/>
        <v>SG18</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7503</v>
      </c>
      <c r="G32" s="1514">
        <v>18</v>
      </c>
      <c r="H32" s="1515">
        <v>5.875</v>
      </c>
      <c r="I32" s="1513"/>
      <c r="J32" s="1514"/>
      <c r="K32" s="1515"/>
      <c r="L32" s="1516" t="s">
        <v>703</v>
      </c>
      <c r="M32" s="1516" t="s">
        <v>1397</v>
      </c>
      <c r="N32" s="1689" t="s">
        <v>116</v>
      </c>
      <c r="O32" s="1644"/>
      <c r="P32" s="245" t="b">
        <f t="shared" si="3"/>
        <v>0</v>
      </c>
      <c r="R32" s="245" t="b">
        <f t="shared" si="1"/>
        <v>0</v>
      </c>
      <c r="AO32" s="238" t="str">
        <f t="shared" si="2"/>
        <v>SG18</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7503</v>
      </c>
      <c r="G33" s="1514">
        <v>24</v>
      </c>
      <c r="H33" s="1515">
        <v>8.625</v>
      </c>
      <c r="I33" s="1513"/>
      <c r="J33" s="1514"/>
      <c r="K33" s="1515"/>
      <c r="L33" s="1516" t="s">
        <v>703</v>
      </c>
      <c r="M33" s="1516" t="s">
        <v>1397</v>
      </c>
      <c r="N33" s="1689" t="s">
        <v>116</v>
      </c>
      <c r="O33" s="1644"/>
      <c r="P33" s="245" t="b">
        <f t="shared" si="3"/>
        <v>0</v>
      </c>
      <c r="R33" s="245" t="b">
        <f t="shared" si="1"/>
        <v>0</v>
      </c>
      <c r="AO33" s="238" t="str">
        <f t="shared" si="2"/>
        <v>SG18</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7503</v>
      </c>
      <c r="G34" s="1514">
        <v>30</v>
      </c>
      <c r="H34" s="1515">
        <v>11.375</v>
      </c>
      <c r="I34" s="1513"/>
      <c r="J34" s="1514"/>
      <c r="K34" s="1515"/>
      <c r="L34" s="1516" t="s">
        <v>703</v>
      </c>
      <c r="M34" s="1516" t="s">
        <v>1397</v>
      </c>
      <c r="N34" s="1689" t="s">
        <v>116</v>
      </c>
      <c r="O34" s="1644"/>
      <c r="P34" s="245" t="b">
        <f t="shared" si="3"/>
        <v>0</v>
      </c>
      <c r="R34" s="245" t="b">
        <f t="shared" si="1"/>
        <v>0</v>
      </c>
      <c r="AO34" s="238" t="str">
        <f t="shared" si="2"/>
        <v>SG18</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7503</v>
      </c>
      <c r="G35" s="1514">
        <v>37</v>
      </c>
      <c r="H35" s="1515">
        <v>2.1249999999999991</v>
      </c>
      <c r="I35" s="1513"/>
      <c r="J35" s="1514"/>
      <c r="K35" s="1515"/>
      <c r="L35" s="1516" t="s">
        <v>703</v>
      </c>
      <c r="M35" s="1516" t="s">
        <v>1397</v>
      </c>
      <c r="N35" s="1689" t="s">
        <v>116</v>
      </c>
      <c r="O35" s="1644"/>
      <c r="P35" s="245" t="b">
        <f t="shared" si="3"/>
        <v>0</v>
      </c>
      <c r="R35" s="245" t="b">
        <f t="shared" si="1"/>
        <v>0</v>
      </c>
      <c r="AO35" s="238" t="str">
        <f t="shared" si="2"/>
        <v>SG18</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7503</v>
      </c>
      <c r="G36" s="1514">
        <v>43</v>
      </c>
      <c r="H36" s="1515">
        <v>4.875</v>
      </c>
      <c r="I36" s="1513"/>
      <c r="J36" s="1514"/>
      <c r="K36" s="1515"/>
      <c r="L36" s="1516" t="s">
        <v>703</v>
      </c>
      <c r="M36" s="1516" t="s">
        <v>1397</v>
      </c>
      <c r="N36" s="1689" t="s">
        <v>116</v>
      </c>
      <c r="O36" s="1644"/>
      <c r="P36" s="245" t="b">
        <f t="shared" si="3"/>
        <v>0</v>
      </c>
      <c r="R36" s="245" t="b">
        <f t="shared" si="1"/>
        <v>0</v>
      </c>
      <c r="AO36" s="238" t="str">
        <f t="shared" si="2"/>
        <v>SG18</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7503</v>
      </c>
      <c r="G37" s="1514">
        <v>49</v>
      </c>
      <c r="H37" s="1515">
        <v>7.6250000000000009</v>
      </c>
      <c r="I37" s="1513"/>
      <c r="J37" s="1514"/>
      <c r="K37" s="1515"/>
      <c r="L37" s="1516" t="s">
        <v>703</v>
      </c>
      <c r="M37" s="1516" t="s">
        <v>1397</v>
      </c>
      <c r="N37" s="1689" t="s">
        <v>116</v>
      </c>
      <c r="O37" s="1644"/>
      <c r="P37" s="245" t="b">
        <f t="shared" si="3"/>
        <v>0</v>
      </c>
      <c r="R37" s="245" t="b">
        <f t="shared" si="1"/>
        <v>0</v>
      </c>
      <c r="AO37" s="238" t="str">
        <f t="shared" si="2"/>
        <v>SG18</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167</v>
      </c>
      <c r="D38" s="1511" t="s">
        <v>145</v>
      </c>
      <c r="E38" s="1512"/>
      <c r="F38" s="1513">
        <v>1362</v>
      </c>
      <c r="G38" s="1514">
        <v>6</v>
      </c>
      <c r="H38" s="1515">
        <v>0.375</v>
      </c>
      <c r="I38" s="1513"/>
      <c r="J38" s="1514"/>
      <c r="K38" s="1515"/>
      <c r="L38" s="1516" t="s">
        <v>703</v>
      </c>
      <c r="M38" s="1516" t="s">
        <v>1397</v>
      </c>
      <c r="N38" s="1689" t="s">
        <v>116</v>
      </c>
      <c r="O38" s="1644"/>
      <c r="P38" s="245" t="b">
        <f t="shared" si="3"/>
        <v>0</v>
      </c>
      <c r="R38" s="245" t="b">
        <f t="shared" si="1"/>
        <v>0</v>
      </c>
      <c r="AO38" s="238" t="str">
        <f t="shared" si="2"/>
        <v>SG18</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167</v>
      </c>
      <c r="D39" s="1511" t="s">
        <v>145</v>
      </c>
      <c r="E39" s="1512"/>
      <c r="F39" s="1513">
        <v>1362</v>
      </c>
      <c r="G39" s="1514">
        <v>12</v>
      </c>
      <c r="H39" s="1515">
        <v>3.125</v>
      </c>
      <c r="I39" s="1513"/>
      <c r="J39" s="1514"/>
      <c r="K39" s="1515"/>
      <c r="L39" s="1516" t="s">
        <v>703</v>
      </c>
      <c r="M39" s="1516" t="s">
        <v>1397</v>
      </c>
      <c r="N39" s="1689" t="s">
        <v>116</v>
      </c>
      <c r="O39" s="1644"/>
      <c r="P39" s="245" t="b">
        <f t="shared" si="3"/>
        <v>0</v>
      </c>
      <c r="R39" s="245" t="b">
        <f t="shared" si="1"/>
        <v>0</v>
      </c>
      <c r="AO39" s="238" t="str">
        <f t="shared" si="2"/>
        <v>SG18</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167</v>
      </c>
      <c r="D40" s="1511" t="s">
        <v>145</v>
      </c>
      <c r="E40" s="1512"/>
      <c r="F40" s="1513">
        <v>1362</v>
      </c>
      <c r="G40" s="1514">
        <v>18</v>
      </c>
      <c r="H40" s="1515">
        <v>5.875</v>
      </c>
      <c r="I40" s="1513"/>
      <c r="J40" s="1514"/>
      <c r="K40" s="1515"/>
      <c r="L40" s="1516" t="s">
        <v>703</v>
      </c>
      <c r="M40" s="1516" t="s">
        <v>1397</v>
      </c>
      <c r="N40" s="1689" t="s">
        <v>116</v>
      </c>
      <c r="O40" s="1644"/>
      <c r="P40" s="245" t="b">
        <f t="shared" si="3"/>
        <v>0</v>
      </c>
      <c r="R40" s="245" t="b">
        <f t="shared" si="1"/>
        <v>0</v>
      </c>
      <c r="AO40" s="238" t="str">
        <f t="shared" si="2"/>
        <v>SG18</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167</v>
      </c>
      <c r="D41" s="1511" t="s">
        <v>145</v>
      </c>
      <c r="E41" s="1512"/>
      <c r="F41" s="1513">
        <v>1362</v>
      </c>
      <c r="G41" s="1514">
        <v>24</v>
      </c>
      <c r="H41" s="1515">
        <v>8.625</v>
      </c>
      <c r="I41" s="1513"/>
      <c r="J41" s="1514"/>
      <c r="K41" s="1515"/>
      <c r="L41" s="1516" t="s">
        <v>703</v>
      </c>
      <c r="M41" s="1516" t="s">
        <v>1397</v>
      </c>
      <c r="N41" s="1689" t="s">
        <v>116</v>
      </c>
      <c r="O41" s="1644"/>
      <c r="P41" s="245" t="b">
        <f t="shared" si="3"/>
        <v>0</v>
      </c>
      <c r="R41" s="245" t="b">
        <f t="shared" si="1"/>
        <v>0</v>
      </c>
      <c r="AO41" s="238" t="str">
        <f t="shared" si="2"/>
        <v>SG18</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167</v>
      </c>
      <c r="D42" s="1511" t="s">
        <v>145</v>
      </c>
      <c r="E42" s="1512"/>
      <c r="F42" s="1513">
        <v>1362</v>
      </c>
      <c r="G42" s="1514">
        <v>30</v>
      </c>
      <c r="H42" s="1515">
        <v>11.375</v>
      </c>
      <c r="I42" s="1513"/>
      <c r="J42" s="1514"/>
      <c r="K42" s="1515"/>
      <c r="L42" s="1516" t="s">
        <v>703</v>
      </c>
      <c r="M42" s="1516" t="s">
        <v>1397</v>
      </c>
      <c r="N42" s="1689" t="s">
        <v>116</v>
      </c>
      <c r="O42" s="1644"/>
      <c r="P42" s="245" t="b">
        <f t="shared" si="3"/>
        <v>0</v>
      </c>
      <c r="R42" s="245" t="b">
        <f t="shared" si="1"/>
        <v>0</v>
      </c>
      <c r="AO42" s="238" t="str">
        <f t="shared" si="2"/>
        <v>SG18</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167</v>
      </c>
      <c r="D43" s="1511" t="s">
        <v>145</v>
      </c>
      <c r="E43" s="1512"/>
      <c r="F43" s="1513">
        <v>1362</v>
      </c>
      <c r="G43" s="1514">
        <v>37</v>
      </c>
      <c r="H43" s="1515">
        <v>2.1249999999999991</v>
      </c>
      <c r="I43" s="1513"/>
      <c r="J43" s="1514"/>
      <c r="K43" s="1515"/>
      <c r="L43" s="1516" t="s">
        <v>703</v>
      </c>
      <c r="M43" s="1516" t="s">
        <v>1397</v>
      </c>
      <c r="N43" s="1689" t="s">
        <v>116</v>
      </c>
      <c r="O43" s="1644"/>
      <c r="P43" s="245" t="b">
        <f t="shared" si="3"/>
        <v>0</v>
      </c>
      <c r="R43" s="245" t="b">
        <f t="shared" si="1"/>
        <v>0</v>
      </c>
      <c r="AO43" s="238" t="str">
        <f t="shared" si="2"/>
        <v>SG18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167</v>
      </c>
      <c r="D44" s="1511" t="s">
        <v>145</v>
      </c>
      <c r="E44" s="1512"/>
      <c r="F44" s="1513">
        <v>1362</v>
      </c>
      <c r="G44" s="1514">
        <v>43</v>
      </c>
      <c r="H44" s="1515">
        <v>4.875</v>
      </c>
      <c r="I44" s="1513"/>
      <c r="J44" s="1514"/>
      <c r="K44" s="1515"/>
      <c r="L44" s="1516" t="s">
        <v>703</v>
      </c>
      <c r="M44" s="1516" t="s">
        <v>1397</v>
      </c>
      <c r="N44" s="1689" t="s">
        <v>116</v>
      </c>
      <c r="O44" s="1644"/>
      <c r="P44" s="245" t="b">
        <f t="shared" si="3"/>
        <v>0</v>
      </c>
      <c r="R44" s="245" t="b">
        <f t="shared" si="1"/>
        <v>0</v>
      </c>
      <c r="AO44" s="238" t="str">
        <f t="shared" si="2"/>
        <v>SG18</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167</v>
      </c>
      <c r="D45" s="1511" t="s">
        <v>145</v>
      </c>
      <c r="E45" s="1512"/>
      <c r="F45" s="1513">
        <v>1362</v>
      </c>
      <c r="G45" s="1514">
        <v>49</v>
      </c>
      <c r="H45" s="1515">
        <v>7.6250000000000009</v>
      </c>
      <c r="I45" s="1513"/>
      <c r="J45" s="1514"/>
      <c r="K45" s="1515"/>
      <c r="L45" s="1516" t="s">
        <v>703</v>
      </c>
      <c r="M45" s="1516" t="s">
        <v>1397</v>
      </c>
      <c r="N45" s="1689" t="s">
        <v>116</v>
      </c>
      <c r="O45" s="1644"/>
      <c r="P45" s="245" t="b">
        <f t="shared" si="3"/>
        <v>0</v>
      </c>
      <c r="R45" s="245" t="b">
        <f t="shared" si="1"/>
        <v>0</v>
      </c>
      <c r="AO45" s="238" t="str">
        <f t="shared" si="2"/>
        <v>SG18</v>
      </c>
      <c r="AP45" s="945" t="b">
        <v>0</v>
      </c>
      <c r="AQ45" s="1322"/>
      <c r="AR45" s="1323"/>
      <c r="AS45" s="1323"/>
      <c r="AT45" s="1323"/>
      <c r="AU45" s="1323"/>
      <c r="AV45" s="1323"/>
      <c r="AW45" s="1323"/>
      <c r="AX45" s="1323"/>
      <c r="AY45" s="1323"/>
      <c r="AZ45" s="1323"/>
      <c r="BA45" s="1532"/>
      <c r="BB45" s="1532"/>
      <c r="BC45" s="1533"/>
    </row>
    <row r="46" spans="1:55" ht="14.1" customHeight="1" x14ac:dyDescent="0.2">
      <c r="A46" s="1510" t="s">
        <v>1894</v>
      </c>
      <c r="B46" s="1511" t="s">
        <v>148</v>
      </c>
      <c r="C46" s="1511" t="s">
        <v>165</v>
      </c>
      <c r="D46" s="1511" t="s">
        <v>145</v>
      </c>
      <c r="E46" s="1512"/>
      <c r="F46" s="1513">
        <v>7503</v>
      </c>
      <c r="G46" s="1514">
        <v>6</v>
      </c>
      <c r="H46" s="1515">
        <v>0.375</v>
      </c>
      <c r="I46" s="1513"/>
      <c r="J46" s="1514"/>
      <c r="K46" s="1515"/>
      <c r="L46" s="1516" t="s">
        <v>703</v>
      </c>
      <c r="M46" s="1516" t="s">
        <v>1397</v>
      </c>
      <c r="N46" s="1689" t="s">
        <v>116</v>
      </c>
      <c r="O46" s="1644"/>
      <c r="P46" s="245" t="b">
        <f t="shared" si="3"/>
        <v>0</v>
      </c>
      <c r="R46" s="245" t="b">
        <f t="shared" si="1"/>
        <v>0</v>
      </c>
      <c r="AO46" s="238" t="str">
        <f t="shared" si="2"/>
        <v>SG19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7503</v>
      </c>
      <c r="G47" s="1514">
        <v>12</v>
      </c>
      <c r="H47" s="1515">
        <v>3.125</v>
      </c>
      <c r="I47" s="1513"/>
      <c r="J47" s="1514"/>
      <c r="K47" s="1515"/>
      <c r="L47" s="1516" t="s">
        <v>703</v>
      </c>
      <c r="M47" s="1516" t="s">
        <v>1397</v>
      </c>
      <c r="N47" s="1689" t="s">
        <v>116</v>
      </c>
      <c r="O47" s="1644"/>
      <c r="P47" s="245" t="b">
        <f t="shared" si="3"/>
        <v>0</v>
      </c>
      <c r="R47" s="245" t="b">
        <f t="shared" si="1"/>
        <v>0</v>
      </c>
      <c r="AO47" s="238" t="str">
        <f t="shared" si="2"/>
        <v>SG19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7503</v>
      </c>
      <c r="G48" s="1514">
        <v>18</v>
      </c>
      <c r="H48" s="1515">
        <v>5.875</v>
      </c>
      <c r="I48" s="1513"/>
      <c r="J48" s="1514"/>
      <c r="K48" s="1515"/>
      <c r="L48" s="1516" t="s">
        <v>703</v>
      </c>
      <c r="M48" s="1516" t="s">
        <v>1397</v>
      </c>
      <c r="N48" s="1689" t="s">
        <v>116</v>
      </c>
      <c r="O48" s="1644"/>
      <c r="P48" s="245" t="b">
        <f t="shared" si="3"/>
        <v>0</v>
      </c>
      <c r="R48" s="245" t="b">
        <f t="shared" si="1"/>
        <v>0</v>
      </c>
      <c r="AO48" s="238" t="str">
        <f t="shared" si="2"/>
        <v>SG19</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7503</v>
      </c>
      <c r="G49" s="1514">
        <v>24</v>
      </c>
      <c r="H49" s="1515">
        <v>8.625</v>
      </c>
      <c r="I49" s="1513"/>
      <c r="J49" s="1514"/>
      <c r="K49" s="1515"/>
      <c r="L49" s="1516" t="s">
        <v>703</v>
      </c>
      <c r="M49" s="1516" t="s">
        <v>1397</v>
      </c>
      <c r="N49" s="1689" t="s">
        <v>116</v>
      </c>
      <c r="O49" s="1644"/>
      <c r="P49" s="245" t="b">
        <f t="shared" si="3"/>
        <v>0</v>
      </c>
      <c r="R49" s="245" t="b">
        <f t="shared" si="1"/>
        <v>0</v>
      </c>
      <c r="AO49" s="238" t="str">
        <f t="shared" si="2"/>
        <v>SG19</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7503</v>
      </c>
      <c r="G50" s="1514">
        <v>30</v>
      </c>
      <c r="H50" s="1515">
        <v>11.375</v>
      </c>
      <c r="I50" s="1513"/>
      <c r="J50" s="1514"/>
      <c r="K50" s="1515"/>
      <c r="L50" s="1516" t="s">
        <v>703</v>
      </c>
      <c r="M50" s="1516" t="s">
        <v>1397</v>
      </c>
      <c r="N50" s="1689" t="s">
        <v>116</v>
      </c>
      <c r="O50" s="1644"/>
      <c r="P50" s="245" t="b">
        <f t="shared" si="3"/>
        <v>0</v>
      </c>
      <c r="R50" s="245" t="b">
        <f t="shared" si="1"/>
        <v>0</v>
      </c>
      <c r="AO50" s="238" t="str">
        <f t="shared" si="2"/>
        <v>SG19</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7503</v>
      </c>
      <c r="G51" s="1514">
        <v>37</v>
      </c>
      <c r="H51" s="1515">
        <v>2.1249999999999991</v>
      </c>
      <c r="I51" s="1513"/>
      <c r="J51" s="1514"/>
      <c r="K51" s="1515"/>
      <c r="L51" s="1516" t="s">
        <v>703</v>
      </c>
      <c r="M51" s="1516" t="s">
        <v>1397</v>
      </c>
      <c r="N51" s="1689" t="s">
        <v>116</v>
      </c>
      <c r="O51" s="1644"/>
      <c r="P51" s="245" t="b">
        <f t="shared" si="3"/>
        <v>0</v>
      </c>
      <c r="R51" s="245" t="b">
        <f t="shared" si="1"/>
        <v>0</v>
      </c>
      <c r="AO51" s="238" t="str">
        <f t="shared" si="2"/>
        <v>SG19</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7503</v>
      </c>
      <c r="G52" s="1514">
        <v>43</v>
      </c>
      <c r="H52" s="1515">
        <v>4.875</v>
      </c>
      <c r="I52" s="1513"/>
      <c r="J52" s="1514"/>
      <c r="K52" s="1515"/>
      <c r="L52" s="1516" t="s">
        <v>703</v>
      </c>
      <c r="M52" s="1516" t="s">
        <v>1397</v>
      </c>
      <c r="N52" s="1689" t="s">
        <v>116</v>
      </c>
      <c r="O52" s="1644"/>
      <c r="P52" s="245" t="b">
        <f t="shared" si="3"/>
        <v>0</v>
      </c>
      <c r="R52" s="245" t="b">
        <f t="shared" si="1"/>
        <v>0</v>
      </c>
      <c r="AO52" s="238" t="str">
        <f t="shared" si="2"/>
        <v>SG19</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7503</v>
      </c>
      <c r="G53" s="1514">
        <v>49</v>
      </c>
      <c r="H53" s="1515">
        <v>7.6250000000000009</v>
      </c>
      <c r="I53" s="1513"/>
      <c r="J53" s="1514"/>
      <c r="K53" s="1515"/>
      <c r="L53" s="1516" t="s">
        <v>703</v>
      </c>
      <c r="M53" s="1516" t="s">
        <v>1397</v>
      </c>
      <c r="N53" s="1689" t="s">
        <v>116</v>
      </c>
      <c r="O53" s="1644"/>
      <c r="P53" s="245" t="b">
        <f t="shared" si="3"/>
        <v>0</v>
      </c>
      <c r="R53" s="245" t="b">
        <f t="shared" si="1"/>
        <v>0</v>
      </c>
      <c r="AO53" s="238" t="str">
        <f t="shared" si="2"/>
        <v>SG19</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1362</v>
      </c>
      <c r="G54" s="1514">
        <v>6</v>
      </c>
      <c r="H54" s="1515">
        <v>0.375</v>
      </c>
      <c r="I54" s="1513"/>
      <c r="J54" s="1514"/>
      <c r="K54" s="1515"/>
      <c r="L54" s="1516" t="s">
        <v>703</v>
      </c>
      <c r="M54" s="1516" t="s">
        <v>1397</v>
      </c>
      <c r="N54" s="1689" t="s">
        <v>116</v>
      </c>
      <c r="O54" s="1644"/>
      <c r="P54" s="245" t="b">
        <f t="shared" si="3"/>
        <v>0</v>
      </c>
      <c r="R54" s="245" t="b">
        <f t="shared" si="1"/>
        <v>0</v>
      </c>
      <c r="AO54" s="238" t="str">
        <f t="shared" si="2"/>
        <v>SG19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1362</v>
      </c>
      <c r="G55" s="1523">
        <v>12</v>
      </c>
      <c r="H55" s="1524">
        <v>3.125</v>
      </c>
      <c r="I55" s="1522"/>
      <c r="J55" s="1523"/>
      <c r="K55" s="1524"/>
      <c r="L55" s="1525" t="s">
        <v>703</v>
      </c>
      <c r="M55" s="1525" t="s">
        <v>1397</v>
      </c>
      <c r="N55" s="1690"/>
      <c r="O55" s="1644"/>
      <c r="P55" s="245" t="b">
        <f t="shared" si="3"/>
        <v>0</v>
      </c>
      <c r="R55" s="245" t="b">
        <f t="shared" si="1"/>
        <v>0</v>
      </c>
      <c r="AO55" s="238" t="str">
        <f t="shared" si="2"/>
        <v>SG19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4" stopIfTrue="1">
      <formula>AND($B14="NU",F14&lt;0)</formula>
    </cfRule>
  </conditionalFormatting>
  <conditionalFormatting sqref="B14:B55">
    <cfRule type="expression" dxfId="58" priority="5" stopIfTrue="1">
      <formula>OR(AND($B14="NU",F14&lt;0),AND($B14="NU",I14&lt;0))</formula>
    </cfRule>
  </conditionalFormatting>
  <conditionalFormatting sqref="G14:H55 J14:L55">
    <cfRule type="expression" dxfId="57" priority="6" stopIfTrue="1">
      <formula>$R14</formula>
    </cfRule>
  </conditionalFormatting>
  <conditionalFormatting sqref="I2:K4">
    <cfRule type="cellIs" dxfId="56" priority="7" stopIfTrue="1" operator="equal">
      <formula>""</formula>
    </cfRule>
  </conditionalFormatting>
  <conditionalFormatting sqref="I14:I55">
    <cfRule type="expression" dxfId="55" priority="8" stopIfTrue="1">
      <formula>OR($R14,$B14="CZ",AND($B14="NU",I14&lt;0))</formula>
    </cfRule>
  </conditionalFormatting>
  <conditionalFormatting sqref="A14:A55">
    <cfRule type="expression" dxfId="54" priority="3">
      <formula>NOT($P14)</formula>
    </cfRule>
  </conditionalFormatting>
  <conditionalFormatting sqref="B14:D55">
    <cfRule type="expression" dxfId="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 priority="9">
      <formula>AND(NOT($P14),$T$1)</formula>
    </cfRule>
    <cfRule type="expression" dxfId="51" priority="10">
      <formula>AND($AP14,$S$1="M")</formula>
    </cfRule>
  </conditionalFormatting>
  <conditionalFormatting sqref="L14:L55">
    <cfRule type="expression" dxfId="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6CC9FA06-896F-4A6B-AC99-BB9842DE445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EB4B1EA7-3B3C-4953-9154-BE7A2E645C2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4E41F07A-4E27-4AD7-9A11-34BCFFA0EB0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2838ABB-918B-4572-8837-19B0900629E2}">
      <formula1>IF($CA$14,$CA$16:$CA$21,$CB$16:$CB$19)</formula1>
    </dataValidation>
    <dataValidation type="list" allowBlank="1" showErrorMessage="1" errorTitle="Invalid Type" error="You MUST select a Type from the dropdown list provided._x000a__x000a_Also, make sure your Cap Lock is turned on." sqref="B14:B55" xr:uid="{B7455E43-17DE-4280-8455-361C0AD78EB8}">
      <formula1>$BF$15:$BU$15</formula1>
    </dataValidation>
    <dataValidation allowBlank="1" showInputMessage="1" errorTitle="Invalid Load Case" error="You MUST use a Load Case from the list provided." sqref="M14:M55" xr:uid="{C1DD2798-963E-4ADC-A42E-CDA379E6743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C480B-F95C-4C4E-960C-C7D0FA1828CC}">
  <sheetPr codeName="Sheet5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1362</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167</v>
      </c>
      <c r="D15" s="1511" t="s">
        <v>145</v>
      </c>
      <c r="E15" s="1512"/>
      <c r="F15" s="1513">
        <v>1362</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167</v>
      </c>
      <c r="D16" s="1511" t="s">
        <v>145</v>
      </c>
      <c r="E16" s="1512"/>
      <c r="F16" s="1513">
        <v>1362</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167</v>
      </c>
      <c r="D17" s="1511" t="s">
        <v>145</v>
      </c>
      <c r="E17" s="1512"/>
      <c r="F17" s="1513">
        <v>1362</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167</v>
      </c>
      <c r="D18" s="1511" t="s">
        <v>145</v>
      </c>
      <c r="E18" s="1512"/>
      <c r="F18" s="1513">
        <v>1362</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167</v>
      </c>
      <c r="D19" s="1511" t="s">
        <v>145</v>
      </c>
      <c r="E19" s="1512"/>
      <c r="F19" s="1513">
        <v>1362</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1895</v>
      </c>
      <c r="B20" s="1511" t="s">
        <v>154</v>
      </c>
      <c r="C20" s="1511" t="s">
        <v>165</v>
      </c>
      <c r="D20" s="1511" t="s">
        <v>145</v>
      </c>
      <c r="E20" s="1512"/>
      <c r="F20" s="1513">
        <v>1100</v>
      </c>
      <c r="G20" s="1514"/>
      <c r="H20" s="1515"/>
      <c r="I20" s="1513"/>
      <c r="J20" s="1514"/>
      <c r="K20" s="1515"/>
      <c r="L20" s="1516" t="s">
        <v>116</v>
      </c>
      <c r="M20" s="1517" t="s">
        <v>1397</v>
      </c>
      <c r="N20" s="1518"/>
      <c r="O20" s="1645"/>
      <c r="P20" s="245" t="b">
        <f t="shared" si="3"/>
        <v>0</v>
      </c>
      <c r="R20" s="245" t="b">
        <f t="shared" si="1"/>
        <v>1</v>
      </c>
      <c r="AO20" s="238" t="str">
        <f t="shared" si="2"/>
        <v>SG20</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1320</v>
      </c>
      <c r="G21" s="1514"/>
      <c r="H21" s="1515"/>
      <c r="I21" s="1513"/>
      <c r="J21" s="1514"/>
      <c r="K21" s="1515"/>
      <c r="L21" s="1516" t="s">
        <v>116</v>
      </c>
      <c r="M21" s="1517" t="s">
        <v>1397</v>
      </c>
      <c r="N21" s="1518"/>
      <c r="O21" s="1645"/>
      <c r="P21" s="245" t="b">
        <f t="shared" si="3"/>
        <v>0</v>
      </c>
      <c r="R21" s="245" t="b">
        <f t="shared" si="1"/>
        <v>1</v>
      </c>
      <c r="AO21" s="238" t="str">
        <f t="shared" si="2"/>
        <v>SG20</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7503</v>
      </c>
      <c r="G22" s="1514">
        <v>6</v>
      </c>
      <c r="H22" s="1515">
        <v>0.375</v>
      </c>
      <c r="I22" s="1513"/>
      <c r="J22" s="1514"/>
      <c r="K22" s="1515"/>
      <c r="L22" s="1516" t="s">
        <v>703</v>
      </c>
      <c r="M22" s="1517" t="s">
        <v>1397</v>
      </c>
      <c r="N22" s="1518"/>
      <c r="O22" s="1645"/>
      <c r="P22" s="245" t="b">
        <f t="shared" si="3"/>
        <v>0</v>
      </c>
      <c r="R22" s="245" t="b">
        <f t="shared" si="1"/>
        <v>0</v>
      </c>
      <c r="AO22" s="238" t="str">
        <f t="shared" si="2"/>
        <v>SG20</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7503</v>
      </c>
      <c r="G23" s="1514">
        <v>12</v>
      </c>
      <c r="H23" s="1515">
        <v>3.125</v>
      </c>
      <c r="I23" s="1513"/>
      <c r="J23" s="1514"/>
      <c r="K23" s="1515"/>
      <c r="L23" s="1516" t="s">
        <v>703</v>
      </c>
      <c r="M23" s="1517" t="s">
        <v>1397</v>
      </c>
      <c r="N23" s="1518"/>
      <c r="O23" s="1645"/>
      <c r="P23" s="245" t="b">
        <f t="shared" si="3"/>
        <v>0</v>
      </c>
      <c r="R23" s="245" t="b">
        <f t="shared" si="1"/>
        <v>0</v>
      </c>
      <c r="AO23" s="238" t="str">
        <f t="shared" si="2"/>
        <v>SG20</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7503</v>
      </c>
      <c r="G24" s="1514">
        <v>18</v>
      </c>
      <c r="H24" s="1515">
        <v>5.875</v>
      </c>
      <c r="I24" s="1513"/>
      <c r="J24" s="1514"/>
      <c r="K24" s="1515"/>
      <c r="L24" s="1516" t="s">
        <v>703</v>
      </c>
      <c r="M24" s="1517" t="s">
        <v>1397</v>
      </c>
      <c r="N24" s="1518"/>
      <c r="O24" s="1645"/>
      <c r="P24" s="245" t="b">
        <f t="shared" si="3"/>
        <v>0</v>
      </c>
      <c r="R24" s="245" t="b">
        <f t="shared" si="1"/>
        <v>0</v>
      </c>
      <c r="AO24" s="238" t="str">
        <f t="shared" si="2"/>
        <v>SG20</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7503</v>
      </c>
      <c r="G25" s="1514">
        <v>24</v>
      </c>
      <c r="H25" s="1515">
        <v>8.625</v>
      </c>
      <c r="I25" s="1513"/>
      <c r="J25" s="1514"/>
      <c r="K25" s="1515"/>
      <c r="L25" s="1516" t="s">
        <v>703</v>
      </c>
      <c r="M25" s="1517" t="s">
        <v>1397</v>
      </c>
      <c r="N25" s="1518"/>
      <c r="O25" s="1645"/>
      <c r="P25" s="245" t="b">
        <f t="shared" si="3"/>
        <v>0</v>
      </c>
      <c r="R25" s="245" t="b">
        <f t="shared" si="1"/>
        <v>0</v>
      </c>
      <c r="AO25" s="238" t="str">
        <f t="shared" si="2"/>
        <v>SG20</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7503</v>
      </c>
      <c r="G26" s="1514">
        <v>30</v>
      </c>
      <c r="H26" s="1515">
        <v>11.375</v>
      </c>
      <c r="I26" s="1513"/>
      <c r="J26" s="1514"/>
      <c r="K26" s="1515"/>
      <c r="L26" s="1516" t="s">
        <v>703</v>
      </c>
      <c r="M26" s="1517" t="s">
        <v>1397</v>
      </c>
      <c r="N26" s="1518"/>
      <c r="O26" s="1645"/>
      <c r="P26" s="245" t="b">
        <f t="shared" si="3"/>
        <v>0</v>
      </c>
      <c r="R26" s="245" t="b">
        <f t="shared" si="1"/>
        <v>0</v>
      </c>
      <c r="AO26" s="238" t="str">
        <f t="shared" si="2"/>
        <v>SG20</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7503</v>
      </c>
      <c r="G27" s="1514">
        <v>37</v>
      </c>
      <c r="H27" s="1515">
        <v>2.1249999999999991</v>
      </c>
      <c r="I27" s="1513"/>
      <c r="J27" s="1514"/>
      <c r="K27" s="1515"/>
      <c r="L27" s="1516" t="s">
        <v>703</v>
      </c>
      <c r="M27" s="1517" t="s">
        <v>1397</v>
      </c>
      <c r="N27" s="1518"/>
      <c r="O27" s="1645"/>
      <c r="P27" s="245" t="b">
        <f t="shared" si="3"/>
        <v>0</v>
      </c>
      <c r="R27" s="245" t="b">
        <f t="shared" si="1"/>
        <v>0</v>
      </c>
      <c r="AO27" s="238" t="str">
        <f t="shared" si="2"/>
        <v>SG20</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7503</v>
      </c>
      <c r="G28" s="1514">
        <v>43</v>
      </c>
      <c r="H28" s="1515">
        <v>4.875</v>
      </c>
      <c r="I28" s="1513"/>
      <c r="J28" s="1514"/>
      <c r="K28" s="1515"/>
      <c r="L28" s="1516" t="s">
        <v>703</v>
      </c>
      <c r="M28" s="1517" t="s">
        <v>1397</v>
      </c>
      <c r="N28" s="1689"/>
      <c r="O28" s="1644"/>
      <c r="P28" s="245" t="b">
        <f t="shared" si="3"/>
        <v>0</v>
      </c>
      <c r="R28" s="245" t="b">
        <f t="shared" si="1"/>
        <v>0</v>
      </c>
      <c r="AO28" s="238" t="str">
        <f t="shared" si="2"/>
        <v>SG20</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7503</v>
      </c>
      <c r="G29" s="1514">
        <v>49</v>
      </c>
      <c r="H29" s="1515">
        <v>7.6250000000000009</v>
      </c>
      <c r="I29" s="1513"/>
      <c r="J29" s="1514"/>
      <c r="K29" s="1515"/>
      <c r="L29" s="1516" t="s">
        <v>703</v>
      </c>
      <c r="M29" s="1517" t="s">
        <v>1397</v>
      </c>
      <c r="N29" s="1689"/>
      <c r="O29" s="1644"/>
      <c r="P29" s="245" t="b">
        <f t="shared" si="3"/>
        <v>0</v>
      </c>
      <c r="R29" s="245" t="b">
        <f t="shared" si="1"/>
        <v>0</v>
      </c>
      <c r="AO29" s="238" t="str">
        <f t="shared" si="2"/>
        <v>SG20</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1362</v>
      </c>
      <c r="G30" s="1514">
        <v>6</v>
      </c>
      <c r="H30" s="1515">
        <v>0.375</v>
      </c>
      <c r="I30" s="1513"/>
      <c r="J30" s="1514"/>
      <c r="K30" s="1515"/>
      <c r="L30" s="1516" t="s">
        <v>703</v>
      </c>
      <c r="M30" s="1517" t="s">
        <v>1397</v>
      </c>
      <c r="N30" s="1689" t="s">
        <v>116</v>
      </c>
      <c r="O30" s="1644"/>
      <c r="P30" s="245" t="b">
        <f t="shared" si="3"/>
        <v>0</v>
      </c>
      <c r="R30" s="245" t="b">
        <f t="shared" si="1"/>
        <v>0</v>
      </c>
      <c r="AO30" s="238" t="str">
        <f t="shared" si="2"/>
        <v>SG20</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167</v>
      </c>
      <c r="D31" s="1511" t="s">
        <v>145</v>
      </c>
      <c r="E31" s="1512"/>
      <c r="F31" s="1513">
        <v>1362</v>
      </c>
      <c r="G31" s="1514">
        <v>12</v>
      </c>
      <c r="H31" s="1515">
        <v>3.125</v>
      </c>
      <c r="I31" s="1513"/>
      <c r="J31" s="1514"/>
      <c r="K31" s="1515"/>
      <c r="L31" s="1516" t="s">
        <v>703</v>
      </c>
      <c r="M31" s="1516" t="s">
        <v>1397</v>
      </c>
      <c r="N31" s="1689" t="s">
        <v>116</v>
      </c>
      <c r="O31" s="1644"/>
      <c r="P31" s="245" t="b">
        <f t="shared" si="3"/>
        <v>0</v>
      </c>
      <c r="R31" s="245" t="b">
        <f t="shared" si="1"/>
        <v>0</v>
      </c>
      <c r="AO31" s="238" t="str">
        <f t="shared" si="2"/>
        <v>SG20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167</v>
      </c>
      <c r="D32" s="1511" t="s">
        <v>145</v>
      </c>
      <c r="E32" s="1512"/>
      <c r="F32" s="1513">
        <v>1362</v>
      </c>
      <c r="G32" s="1514">
        <v>18</v>
      </c>
      <c r="H32" s="1515">
        <v>5.875</v>
      </c>
      <c r="I32" s="1513"/>
      <c r="J32" s="1514"/>
      <c r="K32" s="1515"/>
      <c r="L32" s="1516" t="s">
        <v>703</v>
      </c>
      <c r="M32" s="1516" t="s">
        <v>1397</v>
      </c>
      <c r="N32" s="1689" t="s">
        <v>116</v>
      </c>
      <c r="O32" s="1644"/>
      <c r="P32" s="245" t="b">
        <f t="shared" si="3"/>
        <v>0</v>
      </c>
      <c r="R32" s="245" t="b">
        <f t="shared" si="1"/>
        <v>0</v>
      </c>
      <c r="AO32" s="238" t="str">
        <f t="shared" si="2"/>
        <v>SG20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167</v>
      </c>
      <c r="D33" s="1511" t="s">
        <v>145</v>
      </c>
      <c r="E33" s="1512"/>
      <c r="F33" s="1513">
        <v>1362</v>
      </c>
      <c r="G33" s="1514">
        <v>24</v>
      </c>
      <c r="H33" s="1515">
        <v>8.625</v>
      </c>
      <c r="I33" s="1513"/>
      <c r="J33" s="1514"/>
      <c r="K33" s="1515"/>
      <c r="L33" s="1516" t="s">
        <v>703</v>
      </c>
      <c r="M33" s="1516" t="s">
        <v>1397</v>
      </c>
      <c r="N33" s="1689" t="s">
        <v>116</v>
      </c>
      <c r="O33" s="1644"/>
      <c r="P33" s="245" t="b">
        <f t="shared" si="3"/>
        <v>0</v>
      </c>
      <c r="R33" s="245" t="b">
        <f t="shared" si="1"/>
        <v>0</v>
      </c>
      <c r="AO33" s="238" t="str">
        <f t="shared" si="2"/>
        <v>SG20</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167</v>
      </c>
      <c r="D34" s="1511" t="s">
        <v>145</v>
      </c>
      <c r="E34" s="1512"/>
      <c r="F34" s="1513">
        <v>1362</v>
      </c>
      <c r="G34" s="1514">
        <v>30</v>
      </c>
      <c r="H34" s="1515">
        <v>11.375</v>
      </c>
      <c r="I34" s="1513"/>
      <c r="J34" s="1514"/>
      <c r="K34" s="1515"/>
      <c r="L34" s="1516" t="s">
        <v>703</v>
      </c>
      <c r="M34" s="1516" t="s">
        <v>1397</v>
      </c>
      <c r="N34" s="1689" t="s">
        <v>116</v>
      </c>
      <c r="O34" s="1644"/>
      <c r="P34" s="245" t="b">
        <f t="shared" si="3"/>
        <v>0</v>
      </c>
      <c r="R34" s="245" t="b">
        <f t="shared" si="1"/>
        <v>0</v>
      </c>
      <c r="AO34" s="238" t="str">
        <f t="shared" si="2"/>
        <v>SG20</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167</v>
      </c>
      <c r="D35" s="1511" t="s">
        <v>145</v>
      </c>
      <c r="E35" s="1512"/>
      <c r="F35" s="1513">
        <v>1362</v>
      </c>
      <c r="G35" s="1514">
        <v>37</v>
      </c>
      <c r="H35" s="1515">
        <v>2.1249999999999991</v>
      </c>
      <c r="I35" s="1513"/>
      <c r="J35" s="1514"/>
      <c r="K35" s="1515"/>
      <c r="L35" s="1516" t="s">
        <v>703</v>
      </c>
      <c r="M35" s="1516" t="s">
        <v>1397</v>
      </c>
      <c r="N35" s="1689" t="s">
        <v>116</v>
      </c>
      <c r="O35" s="1644"/>
      <c r="P35" s="245" t="b">
        <f t="shared" si="3"/>
        <v>0</v>
      </c>
      <c r="R35" s="245" t="b">
        <f t="shared" si="1"/>
        <v>0</v>
      </c>
      <c r="AO35" s="238" t="str">
        <f t="shared" si="2"/>
        <v>SG20</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1362</v>
      </c>
      <c r="G36" s="1514">
        <v>43</v>
      </c>
      <c r="H36" s="1515">
        <v>4.875</v>
      </c>
      <c r="I36" s="1513"/>
      <c r="J36" s="1514"/>
      <c r="K36" s="1515"/>
      <c r="L36" s="1516" t="s">
        <v>703</v>
      </c>
      <c r="M36" s="1516" t="s">
        <v>1397</v>
      </c>
      <c r="N36" s="1689" t="s">
        <v>116</v>
      </c>
      <c r="O36" s="1644"/>
      <c r="P36" s="245" t="b">
        <f t="shared" si="3"/>
        <v>0</v>
      </c>
      <c r="R36" s="245" t="b">
        <f t="shared" si="1"/>
        <v>0</v>
      </c>
      <c r="AO36" s="238" t="str">
        <f t="shared" si="2"/>
        <v>SG20</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1362</v>
      </c>
      <c r="G37" s="1514">
        <v>49</v>
      </c>
      <c r="H37" s="1515">
        <v>7.6250000000000009</v>
      </c>
      <c r="I37" s="1513"/>
      <c r="J37" s="1514"/>
      <c r="K37" s="1515"/>
      <c r="L37" s="1516" t="s">
        <v>703</v>
      </c>
      <c r="M37" s="1516" t="s">
        <v>1397</v>
      </c>
      <c r="N37" s="1689" t="s">
        <v>116</v>
      </c>
      <c r="O37" s="1644"/>
      <c r="P37" s="245" t="b">
        <f t="shared" si="3"/>
        <v>0</v>
      </c>
      <c r="R37" s="245" t="b">
        <f t="shared" si="1"/>
        <v>0</v>
      </c>
      <c r="AO37" s="238" t="str">
        <f t="shared" si="2"/>
        <v>SG20</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1896</v>
      </c>
      <c r="B38" s="1511" t="s">
        <v>154</v>
      </c>
      <c r="C38" s="1511" t="s">
        <v>165</v>
      </c>
      <c r="D38" s="1511" t="s">
        <v>145</v>
      </c>
      <c r="E38" s="1512"/>
      <c r="F38" s="1513">
        <v>1100</v>
      </c>
      <c r="G38" s="1514"/>
      <c r="H38" s="1515"/>
      <c r="I38" s="1513"/>
      <c r="J38" s="1514"/>
      <c r="K38" s="1515"/>
      <c r="L38" s="1516" t="s">
        <v>116</v>
      </c>
      <c r="M38" s="1516" t="s">
        <v>1397</v>
      </c>
      <c r="N38" s="1689" t="s">
        <v>116</v>
      </c>
      <c r="O38" s="1644"/>
      <c r="P38" s="245" t="b">
        <f t="shared" si="3"/>
        <v>0</v>
      </c>
      <c r="R38" s="245" t="b">
        <f t="shared" si="1"/>
        <v>1</v>
      </c>
      <c r="AO38" s="238" t="str">
        <f t="shared" si="2"/>
        <v>SG21</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154</v>
      </c>
      <c r="C39" s="1511" t="s">
        <v>165</v>
      </c>
      <c r="D39" s="1511" t="s">
        <v>145</v>
      </c>
      <c r="E39" s="1512"/>
      <c r="F39" s="1513">
        <v>1320</v>
      </c>
      <c r="G39" s="1514"/>
      <c r="H39" s="1515"/>
      <c r="I39" s="1513"/>
      <c r="J39" s="1514"/>
      <c r="K39" s="1515"/>
      <c r="L39" s="1516" t="s">
        <v>116</v>
      </c>
      <c r="M39" s="1516" t="s">
        <v>1397</v>
      </c>
      <c r="N39" s="1689" t="s">
        <v>116</v>
      </c>
      <c r="O39" s="1644"/>
      <c r="P39" s="245" t="b">
        <f t="shared" si="3"/>
        <v>0</v>
      </c>
      <c r="R39" s="245" t="b">
        <f t="shared" si="1"/>
        <v>1</v>
      </c>
      <c r="AO39" s="238" t="str">
        <f t="shared" si="2"/>
        <v>SG21</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153</v>
      </c>
      <c r="C40" s="1511" t="s">
        <v>165</v>
      </c>
      <c r="D40" s="1511" t="s">
        <v>145</v>
      </c>
      <c r="E40" s="1512"/>
      <c r="F40" s="1513">
        <v>18300</v>
      </c>
      <c r="G40" s="1514">
        <v>54</v>
      </c>
      <c r="H40" s="1515">
        <v>8</v>
      </c>
      <c r="I40" s="1513"/>
      <c r="J40" s="1514"/>
      <c r="K40" s="1515"/>
      <c r="L40" s="1516" t="s">
        <v>703</v>
      </c>
      <c r="M40" s="1516" t="s">
        <v>1397</v>
      </c>
      <c r="N40" s="1689" t="s">
        <v>116</v>
      </c>
      <c r="O40" s="1644"/>
      <c r="P40" s="245" t="b">
        <f t="shared" si="3"/>
        <v>0</v>
      </c>
      <c r="R40" s="245" t="b">
        <f t="shared" si="1"/>
        <v>0</v>
      </c>
      <c r="AO40" s="238" t="str">
        <f t="shared" si="2"/>
        <v>SG21</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7503</v>
      </c>
      <c r="G41" s="1514">
        <v>6</v>
      </c>
      <c r="H41" s="1515">
        <v>0.375</v>
      </c>
      <c r="I41" s="1513"/>
      <c r="J41" s="1514"/>
      <c r="K41" s="1515"/>
      <c r="L41" s="1516" t="s">
        <v>703</v>
      </c>
      <c r="M41" s="1516" t="s">
        <v>1397</v>
      </c>
      <c r="N41" s="1689" t="s">
        <v>116</v>
      </c>
      <c r="O41" s="1644"/>
      <c r="P41" s="245" t="b">
        <f t="shared" si="3"/>
        <v>0</v>
      </c>
      <c r="R41" s="245" t="b">
        <f t="shared" si="1"/>
        <v>0</v>
      </c>
      <c r="AO41" s="238" t="str">
        <f t="shared" si="2"/>
        <v>SG21</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7503</v>
      </c>
      <c r="G42" s="1514">
        <v>12</v>
      </c>
      <c r="H42" s="1515">
        <v>3.125</v>
      </c>
      <c r="I42" s="1513"/>
      <c r="J42" s="1514"/>
      <c r="K42" s="1515"/>
      <c r="L42" s="1516" t="s">
        <v>703</v>
      </c>
      <c r="M42" s="1516" t="s">
        <v>1397</v>
      </c>
      <c r="N42" s="1689" t="s">
        <v>116</v>
      </c>
      <c r="O42" s="1644"/>
      <c r="P42" s="245" t="b">
        <f t="shared" si="3"/>
        <v>0</v>
      </c>
      <c r="R42" s="245" t="b">
        <f t="shared" si="1"/>
        <v>0</v>
      </c>
      <c r="AO42" s="238" t="str">
        <f t="shared" si="2"/>
        <v>SG21</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7503</v>
      </c>
      <c r="G43" s="1514">
        <v>18</v>
      </c>
      <c r="H43" s="1515">
        <v>5.875</v>
      </c>
      <c r="I43" s="1513"/>
      <c r="J43" s="1514"/>
      <c r="K43" s="1515"/>
      <c r="L43" s="1516" t="s">
        <v>703</v>
      </c>
      <c r="M43" s="1516" t="s">
        <v>1397</v>
      </c>
      <c r="N43" s="1689" t="s">
        <v>116</v>
      </c>
      <c r="O43" s="1644"/>
      <c r="P43" s="245" t="b">
        <f t="shared" si="3"/>
        <v>0</v>
      </c>
      <c r="R43" s="245" t="b">
        <f t="shared" si="1"/>
        <v>0</v>
      </c>
      <c r="AO43" s="238" t="str">
        <f t="shared" si="2"/>
        <v>SG21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7503</v>
      </c>
      <c r="G44" s="1514">
        <v>24</v>
      </c>
      <c r="H44" s="1515">
        <v>8.625</v>
      </c>
      <c r="I44" s="1513"/>
      <c r="J44" s="1514"/>
      <c r="K44" s="1515"/>
      <c r="L44" s="1516" t="s">
        <v>703</v>
      </c>
      <c r="M44" s="1516" t="s">
        <v>1397</v>
      </c>
      <c r="N44" s="1689" t="s">
        <v>116</v>
      </c>
      <c r="O44" s="1644"/>
      <c r="P44" s="245" t="b">
        <f t="shared" si="3"/>
        <v>0</v>
      </c>
      <c r="R44" s="245" t="b">
        <f t="shared" si="1"/>
        <v>0</v>
      </c>
      <c r="AO44" s="238" t="str">
        <f t="shared" si="2"/>
        <v>SG21</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7503</v>
      </c>
      <c r="G45" s="1514">
        <v>30</v>
      </c>
      <c r="H45" s="1515">
        <v>11.375</v>
      </c>
      <c r="I45" s="1513"/>
      <c r="J45" s="1514"/>
      <c r="K45" s="1515"/>
      <c r="L45" s="1516" t="s">
        <v>703</v>
      </c>
      <c r="M45" s="1516" t="s">
        <v>1397</v>
      </c>
      <c r="N45" s="1689" t="s">
        <v>116</v>
      </c>
      <c r="O45" s="1644"/>
      <c r="P45" s="245" t="b">
        <f t="shared" si="3"/>
        <v>0</v>
      </c>
      <c r="R45" s="245" t="b">
        <f t="shared" si="1"/>
        <v>0</v>
      </c>
      <c r="AO45" s="238" t="str">
        <f t="shared" si="2"/>
        <v>SG21</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7503</v>
      </c>
      <c r="G46" s="1514">
        <v>37</v>
      </c>
      <c r="H46" s="1515">
        <v>2.1249999999999991</v>
      </c>
      <c r="I46" s="1513"/>
      <c r="J46" s="1514"/>
      <c r="K46" s="1515"/>
      <c r="L46" s="1516" t="s">
        <v>703</v>
      </c>
      <c r="M46" s="1516" t="s">
        <v>1397</v>
      </c>
      <c r="N46" s="1689" t="s">
        <v>116</v>
      </c>
      <c r="O46" s="1644"/>
      <c r="P46" s="245" t="b">
        <f t="shared" si="3"/>
        <v>0</v>
      </c>
      <c r="R46" s="245" t="b">
        <f t="shared" si="1"/>
        <v>0</v>
      </c>
      <c r="AO46" s="238" t="str">
        <f t="shared" si="2"/>
        <v>SG21</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7503</v>
      </c>
      <c r="G47" s="1514">
        <v>43</v>
      </c>
      <c r="H47" s="1515">
        <v>4.875</v>
      </c>
      <c r="I47" s="1513"/>
      <c r="J47" s="1514"/>
      <c r="K47" s="1515"/>
      <c r="L47" s="1516" t="s">
        <v>703</v>
      </c>
      <c r="M47" s="1516" t="s">
        <v>1397</v>
      </c>
      <c r="N47" s="1689" t="s">
        <v>116</v>
      </c>
      <c r="O47" s="1644"/>
      <c r="P47" s="245" t="b">
        <f t="shared" si="3"/>
        <v>0</v>
      </c>
      <c r="R47" s="245" t="b">
        <f t="shared" si="1"/>
        <v>0</v>
      </c>
      <c r="AO47" s="238" t="str">
        <f t="shared" si="2"/>
        <v>SG21</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7503</v>
      </c>
      <c r="G48" s="1514">
        <v>49</v>
      </c>
      <c r="H48" s="1515">
        <v>7.6250000000000009</v>
      </c>
      <c r="I48" s="1513"/>
      <c r="J48" s="1514"/>
      <c r="K48" s="1515"/>
      <c r="L48" s="1516" t="s">
        <v>703</v>
      </c>
      <c r="M48" s="1516" t="s">
        <v>1397</v>
      </c>
      <c r="N48" s="1689" t="s">
        <v>116</v>
      </c>
      <c r="O48" s="1644"/>
      <c r="P48" s="245" t="b">
        <f t="shared" si="3"/>
        <v>0</v>
      </c>
      <c r="R48" s="245" t="b">
        <f t="shared" si="1"/>
        <v>0</v>
      </c>
      <c r="AO48" s="238" t="str">
        <f t="shared" si="2"/>
        <v>SG21</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1362</v>
      </c>
      <c r="G49" s="1514">
        <v>6</v>
      </c>
      <c r="H49" s="1515">
        <v>0.375</v>
      </c>
      <c r="I49" s="1513"/>
      <c r="J49" s="1514"/>
      <c r="K49" s="1515"/>
      <c r="L49" s="1516" t="s">
        <v>703</v>
      </c>
      <c r="M49" s="1516" t="s">
        <v>1397</v>
      </c>
      <c r="N49" s="1689" t="s">
        <v>116</v>
      </c>
      <c r="O49" s="1644"/>
      <c r="P49" s="245" t="b">
        <f t="shared" si="3"/>
        <v>0</v>
      </c>
      <c r="R49" s="245" t="b">
        <f t="shared" si="1"/>
        <v>0</v>
      </c>
      <c r="AO49" s="238" t="str">
        <f t="shared" si="2"/>
        <v>SG21</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167</v>
      </c>
      <c r="D50" s="1511" t="s">
        <v>145</v>
      </c>
      <c r="E50" s="1512"/>
      <c r="F50" s="1513">
        <v>1362</v>
      </c>
      <c r="G50" s="1514">
        <v>12</v>
      </c>
      <c r="H50" s="1515">
        <v>3.125</v>
      </c>
      <c r="I50" s="1513"/>
      <c r="J50" s="1514"/>
      <c r="K50" s="1515"/>
      <c r="L50" s="1516" t="s">
        <v>703</v>
      </c>
      <c r="M50" s="1516" t="s">
        <v>1397</v>
      </c>
      <c r="N50" s="1689" t="s">
        <v>116</v>
      </c>
      <c r="O50" s="1644"/>
      <c r="P50" s="245" t="b">
        <f t="shared" si="3"/>
        <v>0</v>
      </c>
      <c r="R50" s="245" t="b">
        <f t="shared" si="1"/>
        <v>0</v>
      </c>
      <c r="AO50" s="238" t="str">
        <f t="shared" si="2"/>
        <v>SG21</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167</v>
      </c>
      <c r="D51" s="1511" t="s">
        <v>145</v>
      </c>
      <c r="E51" s="1512"/>
      <c r="F51" s="1513">
        <v>1362</v>
      </c>
      <c r="G51" s="1514">
        <v>18</v>
      </c>
      <c r="H51" s="1515">
        <v>5.875</v>
      </c>
      <c r="I51" s="1513"/>
      <c r="J51" s="1514"/>
      <c r="K51" s="1515"/>
      <c r="L51" s="1516" t="s">
        <v>703</v>
      </c>
      <c r="M51" s="1516" t="s">
        <v>1397</v>
      </c>
      <c r="N51" s="1689" t="s">
        <v>116</v>
      </c>
      <c r="O51" s="1644"/>
      <c r="P51" s="245" t="b">
        <f t="shared" si="3"/>
        <v>0</v>
      </c>
      <c r="R51" s="245" t="b">
        <f t="shared" si="1"/>
        <v>0</v>
      </c>
      <c r="AO51" s="238" t="str">
        <f t="shared" si="2"/>
        <v>SG21</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167</v>
      </c>
      <c r="D52" s="1511" t="s">
        <v>145</v>
      </c>
      <c r="E52" s="1512"/>
      <c r="F52" s="1513">
        <v>1362</v>
      </c>
      <c r="G52" s="1514">
        <v>24</v>
      </c>
      <c r="H52" s="1515">
        <v>8.625</v>
      </c>
      <c r="I52" s="1513"/>
      <c r="J52" s="1514"/>
      <c r="K52" s="1515"/>
      <c r="L52" s="1516" t="s">
        <v>703</v>
      </c>
      <c r="M52" s="1516" t="s">
        <v>1397</v>
      </c>
      <c r="N52" s="1689" t="s">
        <v>116</v>
      </c>
      <c r="O52" s="1644"/>
      <c r="P52" s="245" t="b">
        <f t="shared" si="3"/>
        <v>0</v>
      </c>
      <c r="R52" s="245" t="b">
        <f t="shared" si="1"/>
        <v>0</v>
      </c>
      <c r="AO52" s="238" t="str">
        <f t="shared" si="2"/>
        <v>SG21</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167</v>
      </c>
      <c r="D53" s="1511" t="s">
        <v>145</v>
      </c>
      <c r="E53" s="1512"/>
      <c r="F53" s="1513">
        <v>1362</v>
      </c>
      <c r="G53" s="1514">
        <v>30</v>
      </c>
      <c r="H53" s="1515">
        <v>11.375</v>
      </c>
      <c r="I53" s="1513"/>
      <c r="J53" s="1514"/>
      <c r="K53" s="1515"/>
      <c r="L53" s="1516" t="s">
        <v>703</v>
      </c>
      <c r="M53" s="1516" t="s">
        <v>1397</v>
      </c>
      <c r="N53" s="1689" t="s">
        <v>116</v>
      </c>
      <c r="O53" s="1644"/>
      <c r="P53" s="245" t="b">
        <f t="shared" si="3"/>
        <v>0</v>
      </c>
      <c r="R53" s="245" t="b">
        <f t="shared" si="1"/>
        <v>0</v>
      </c>
      <c r="AO53" s="238" t="str">
        <f t="shared" si="2"/>
        <v>SG21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1362</v>
      </c>
      <c r="G54" s="1514">
        <v>37</v>
      </c>
      <c r="H54" s="1515">
        <v>2.1249999999999991</v>
      </c>
      <c r="I54" s="1513"/>
      <c r="J54" s="1514"/>
      <c r="K54" s="1515"/>
      <c r="L54" s="1516" t="s">
        <v>703</v>
      </c>
      <c r="M54" s="1516" t="s">
        <v>1397</v>
      </c>
      <c r="N54" s="1689" t="s">
        <v>116</v>
      </c>
      <c r="O54" s="1644"/>
      <c r="P54" s="245" t="b">
        <f t="shared" si="3"/>
        <v>0</v>
      </c>
      <c r="R54" s="245" t="b">
        <f t="shared" si="1"/>
        <v>0</v>
      </c>
      <c r="AO54" s="238" t="str">
        <f t="shared" si="2"/>
        <v>SG21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1362</v>
      </c>
      <c r="G55" s="1523">
        <v>43</v>
      </c>
      <c r="H55" s="1524">
        <v>4.875</v>
      </c>
      <c r="I55" s="1522"/>
      <c r="J55" s="1523"/>
      <c r="K55" s="1524"/>
      <c r="L55" s="1525" t="s">
        <v>703</v>
      </c>
      <c r="M55" s="1525" t="s">
        <v>1397</v>
      </c>
      <c r="N55" s="1690"/>
      <c r="O55" s="1644"/>
      <c r="P55" s="245" t="b">
        <f t="shared" si="3"/>
        <v>0</v>
      </c>
      <c r="R55" s="245" t="b">
        <f t="shared" si="1"/>
        <v>0</v>
      </c>
      <c r="AO55" s="238" t="str">
        <f t="shared" si="2"/>
        <v>SG21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9" priority="4" stopIfTrue="1">
      <formula>AND($B14="NU",F14&lt;0)</formula>
    </cfRule>
  </conditionalFormatting>
  <conditionalFormatting sqref="B14:B55">
    <cfRule type="expression" dxfId="48" priority="5" stopIfTrue="1">
      <formula>OR(AND($B14="NU",F14&lt;0),AND($B14="NU",I14&lt;0))</formula>
    </cfRule>
  </conditionalFormatting>
  <conditionalFormatting sqref="G14:H55 J14:L55">
    <cfRule type="expression" dxfId="47" priority="6" stopIfTrue="1">
      <formula>$R14</formula>
    </cfRule>
  </conditionalFormatting>
  <conditionalFormatting sqref="I2:K4">
    <cfRule type="cellIs" dxfId="46" priority="7" stopIfTrue="1" operator="equal">
      <formula>""</formula>
    </cfRule>
  </conditionalFormatting>
  <conditionalFormatting sqref="I14:I55">
    <cfRule type="expression" dxfId="45" priority="8" stopIfTrue="1">
      <formula>OR($R14,$B14="CZ",AND($B14="NU",I14&lt;0))</formula>
    </cfRule>
  </conditionalFormatting>
  <conditionalFormatting sqref="A14:A55">
    <cfRule type="expression" dxfId="44" priority="3">
      <formula>NOT($P14)</formula>
    </cfRule>
  </conditionalFormatting>
  <conditionalFormatting sqref="B14:D55">
    <cfRule type="expression" dxfId="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2" priority="9">
      <formula>AND(NOT($P14),$T$1)</formula>
    </cfRule>
    <cfRule type="expression" dxfId="41" priority="10">
      <formula>AND($AP14,$S$1="M")</formula>
    </cfRule>
  </conditionalFormatting>
  <conditionalFormatting sqref="L14:L55">
    <cfRule type="expression" dxfId="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5A37553-974F-4C07-8260-BBDDAC370EF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C8766B4E-F2D9-47C2-957E-6C183BD23A13}">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86E652F-F2D7-4F2C-B973-0369087C49CD}">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BDFE7E7-6000-448E-89F2-7308C046A2AF}">
      <formula1>IF($CA$14,$CA$16:$CA$21,$CB$16:$CB$19)</formula1>
    </dataValidation>
    <dataValidation type="list" allowBlank="1" showErrorMessage="1" errorTitle="Invalid Type" error="You MUST select a Type from the dropdown list provided._x000a__x000a_Also, make sure your Cap Lock is turned on." sqref="B14:B55" xr:uid="{4F3447D8-EC66-4AEF-A77B-5BB02CCFC980}">
      <formula1>$BF$15:$BU$15</formula1>
    </dataValidation>
    <dataValidation allowBlank="1" showInputMessage="1" errorTitle="Invalid Load Case" error="You MUST use a Load Case from the list provided." sqref="M14:M55" xr:uid="{4C83C7AC-FE39-4CCB-A962-DB2523EA292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962E-D1CC-43A3-B75B-0FA61FFD57FC}">
  <sheetPr codeName="Sheet5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1362</v>
      </c>
      <c r="G14" s="1506">
        <v>49</v>
      </c>
      <c r="H14" s="1507">
        <v>7.6250000000000009</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1897</v>
      </c>
      <c r="B15" s="1511" t="s">
        <v>154</v>
      </c>
      <c r="C15" s="1511" t="s">
        <v>165</v>
      </c>
      <c r="D15" s="1511" t="s">
        <v>145</v>
      </c>
      <c r="E15" s="1512"/>
      <c r="F15" s="1513">
        <v>1100</v>
      </c>
      <c r="G15" s="1514"/>
      <c r="H15" s="1515"/>
      <c r="I15" s="1513"/>
      <c r="J15" s="1514"/>
      <c r="K15" s="1515"/>
      <c r="L15" s="1516" t="s">
        <v>116</v>
      </c>
      <c r="M15" s="1517" t="s">
        <v>1397</v>
      </c>
      <c r="N15" s="1689" t="s">
        <v>116</v>
      </c>
      <c r="O15" s="1644"/>
      <c r="P15" s="245" t="b">
        <f t="shared" si="0"/>
        <v>0</v>
      </c>
      <c r="R15" s="245" t="b">
        <f t="shared" ref="R15:R55" si="1">OR(B15="CP",B15="CA", B15="AX",B15="M",B15="S")</f>
        <v>1</v>
      </c>
      <c r="AO15" s="238" t="str">
        <f t="shared" ref="AO15:AO55" si="2">IF(ISBLANK(A15),AO14,SUBSTITUTE(A15,"*",""))</f>
        <v>SG22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6684</v>
      </c>
      <c r="G16" s="1514">
        <v>6</v>
      </c>
      <c r="H16" s="1515">
        <v>0.375</v>
      </c>
      <c r="I16" s="1513"/>
      <c r="J16" s="1514"/>
      <c r="K16" s="1515"/>
      <c r="L16" s="1516" t="s">
        <v>703</v>
      </c>
      <c r="M16" s="1517" t="s">
        <v>1397</v>
      </c>
      <c r="N16" s="1689"/>
      <c r="O16" s="1644"/>
      <c r="P16" s="245" t="b">
        <f t="shared" si="0"/>
        <v>0</v>
      </c>
      <c r="R16" s="245" t="b">
        <f t="shared" si="1"/>
        <v>0</v>
      </c>
      <c r="AO16" s="238" t="str">
        <f t="shared" si="2"/>
        <v>SG22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12</v>
      </c>
      <c r="H17" s="1515">
        <v>3.125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SG22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6684</v>
      </c>
      <c r="G18" s="1514">
        <v>18</v>
      </c>
      <c r="H18" s="1515">
        <v>5.875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SG22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6684</v>
      </c>
      <c r="G19" s="1514">
        <v>24</v>
      </c>
      <c r="H19" s="1515">
        <v>8.625</v>
      </c>
      <c r="I19" s="1513"/>
      <c r="J19" s="1514"/>
      <c r="K19" s="1515"/>
      <c r="L19" s="1516" t="s">
        <v>703</v>
      </c>
      <c r="M19" s="1517" t="s">
        <v>1397</v>
      </c>
      <c r="N19" s="1689" t="s">
        <v>116</v>
      </c>
      <c r="O19" s="1644"/>
      <c r="P19" s="245" t="b">
        <f t="shared" si="3"/>
        <v>0</v>
      </c>
      <c r="R19" s="245" t="b">
        <f t="shared" si="1"/>
        <v>0</v>
      </c>
      <c r="AO19" s="238" t="str">
        <f t="shared" si="2"/>
        <v>SG22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6684</v>
      </c>
      <c r="G20" s="1514">
        <v>30</v>
      </c>
      <c r="H20" s="1515">
        <v>11.375</v>
      </c>
      <c r="I20" s="1513"/>
      <c r="J20" s="1514"/>
      <c r="K20" s="1515"/>
      <c r="L20" s="1516" t="s">
        <v>703</v>
      </c>
      <c r="M20" s="1517" t="s">
        <v>1397</v>
      </c>
      <c r="N20" s="1518"/>
      <c r="O20" s="1645"/>
      <c r="P20" s="245" t="b">
        <f t="shared" si="3"/>
        <v>0</v>
      </c>
      <c r="R20" s="245" t="b">
        <f t="shared" si="1"/>
        <v>0</v>
      </c>
      <c r="AO20" s="238" t="str">
        <f t="shared" si="2"/>
        <v>SG22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6684</v>
      </c>
      <c r="G21" s="1514">
        <v>37</v>
      </c>
      <c r="H21" s="1515">
        <v>2.1249999999999991</v>
      </c>
      <c r="I21" s="1513"/>
      <c r="J21" s="1514"/>
      <c r="K21" s="1515"/>
      <c r="L21" s="1516" t="s">
        <v>703</v>
      </c>
      <c r="M21" s="1517" t="s">
        <v>1397</v>
      </c>
      <c r="N21" s="1518"/>
      <c r="O21" s="1645"/>
      <c r="P21" s="245" t="b">
        <f t="shared" si="3"/>
        <v>0</v>
      </c>
      <c r="R21" s="245" t="b">
        <f t="shared" si="1"/>
        <v>0</v>
      </c>
      <c r="AO21" s="238" t="str">
        <f t="shared" si="2"/>
        <v>SG22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6684</v>
      </c>
      <c r="G22" s="1514">
        <v>43</v>
      </c>
      <c r="H22" s="1515">
        <v>4.875</v>
      </c>
      <c r="I22" s="1513"/>
      <c r="J22" s="1514"/>
      <c r="K22" s="1515"/>
      <c r="L22" s="1516" t="s">
        <v>703</v>
      </c>
      <c r="M22" s="1517" t="s">
        <v>1397</v>
      </c>
      <c r="N22" s="1518"/>
      <c r="O22" s="1645"/>
      <c r="P22" s="245" t="b">
        <f t="shared" si="3"/>
        <v>0</v>
      </c>
      <c r="R22" s="245" t="b">
        <f t="shared" si="1"/>
        <v>0</v>
      </c>
      <c r="AO22" s="238" t="str">
        <f t="shared" si="2"/>
        <v>SG22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6684</v>
      </c>
      <c r="G23" s="1514">
        <v>49</v>
      </c>
      <c r="H23" s="1515">
        <v>7.6250000000000009</v>
      </c>
      <c r="I23" s="1513"/>
      <c r="J23" s="1514"/>
      <c r="K23" s="1515"/>
      <c r="L23" s="1516" t="s">
        <v>703</v>
      </c>
      <c r="M23" s="1517" t="s">
        <v>1397</v>
      </c>
      <c r="N23" s="1518"/>
      <c r="O23" s="1645"/>
      <c r="P23" s="245" t="b">
        <f t="shared" si="3"/>
        <v>0</v>
      </c>
      <c r="R23" s="245" t="b">
        <f t="shared" si="1"/>
        <v>0</v>
      </c>
      <c r="AO23" s="238" t="str">
        <f t="shared" si="2"/>
        <v>SG22</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1213</v>
      </c>
      <c r="G24" s="1514">
        <v>6</v>
      </c>
      <c r="H24" s="1515">
        <v>0.375</v>
      </c>
      <c r="I24" s="1513"/>
      <c r="J24" s="1514"/>
      <c r="K24" s="1515"/>
      <c r="L24" s="1516" t="s">
        <v>703</v>
      </c>
      <c r="M24" s="1517" t="s">
        <v>1397</v>
      </c>
      <c r="N24" s="1518"/>
      <c r="O24" s="1645"/>
      <c r="P24" s="245" t="b">
        <f t="shared" si="3"/>
        <v>0</v>
      </c>
      <c r="R24" s="245" t="b">
        <f t="shared" si="1"/>
        <v>0</v>
      </c>
      <c r="AO24" s="238" t="str">
        <f t="shared" si="2"/>
        <v>SG22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1213</v>
      </c>
      <c r="G25" s="1514">
        <v>12</v>
      </c>
      <c r="H25" s="1515">
        <v>3.125</v>
      </c>
      <c r="I25" s="1513"/>
      <c r="J25" s="1514"/>
      <c r="K25" s="1515"/>
      <c r="L25" s="1516" t="s">
        <v>703</v>
      </c>
      <c r="M25" s="1517" t="s">
        <v>1397</v>
      </c>
      <c r="N25" s="1518"/>
      <c r="O25" s="1645"/>
      <c r="P25" s="245" t="b">
        <f t="shared" si="3"/>
        <v>0</v>
      </c>
      <c r="R25" s="245" t="b">
        <f t="shared" si="1"/>
        <v>0</v>
      </c>
      <c r="AO25" s="238" t="str">
        <f t="shared" si="2"/>
        <v>SG22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167</v>
      </c>
      <c r="D26" s="1511" t="s">
        <v>145</v>
      </c>
      <c r="E26" s="1512"/>
      <c r="F26" s="1513">
        <v>1213</v>
      </c>
      <c r="G26" s="1514">
        <v>18</v>
      </c>
      <c r="H26" s="1515">
        <v>5.875</v>
      </c>
      <c r="I26" s="1513"/>
      <c r="J26" s="1514"/>
      <c r="K26" s="1515"/>
      <c r="L26" s="1516" t="s">
        <v>703</v>
      </c>
      <c r="M26" s="1517" t="s">
        <v>1397</v>
      </c>
      <c r="N26" s="1518"/>
      <c r="O26" s="1645"/>
      <c r="P26" s="245" t="b">
        <f t="shared" si="3"/>
        <v>0</v>
      </c>
      <c r="R26" s="245" t="b">
        <f t="shared" si="1"/>
        <v>0</v>
      </c>
      <c r="AO26" s="238" t="str">
        <f t="shared" si="2"/>
        <v>SG22</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1213</v>
      </c>
      <c r="G27" s="1514">
        <v>24</v>
      </c>
      <c r="H27" s="1515">
        <v>8.625</v>
      </c>
      <c r="I27" s="1513"/>
      <c r="J27" s="1514"/>
      <c r="K27" s="1515"/>
      <c r="L27" s="1516" t="s">
        <v>703</v>
      </c>
      <c r="M27" s="1517" t="s">
        <v>1397</v>
      </c>
      <c r="N27" s="1518"/>
      <c r="O27" s="1645"/>
      <c r="P27" s="245" t="b">
        <f t="shared" si="3"/>
        <v>0</v>
      </c>
      <c r="R27" s="245" t="b">
        <f t="shared" si="1"/>
        <v>0</v>
      </c>
      <c r="AO27" s="238" t="str">
        <f t="shared" si="2"/>
        <v>SG22</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1213</v>
      </c>
      <c r="G28" s="1514">
        <v>30</v>
      </c>
      <c r="H28" s="1515">
        <v>11.375</v>
      </c>
      <c r="I28" s="1513"/>
      <c r="J28" s="1514"/>
      <c r="K28" s="1515"/>
      <c r="L28" s="1516" t="s">
        <v>703</v>
      </c>
      <c r="M28" s="1517" t="s">
        <v>1397</v>
      </c>
      <c r="N28" s="1689"/>
      <c r="O28" s="1644"/>
      <c r="P28" s="245" t="b">
        <f t="shared" si="3"/>
        <v>0</v>
      </c>
      <c r="R28" s="245" t="b">
        <f t="shared" si="1"/>
        <v>0</v>
      </c>
      <c r="AO28" s="238" t="str">
        <f t="shared" si="2"/>
        <v>SG22</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167</v>
      </c>
      <c r="D29" s="1511" t="s">
        <v>145</v>
      </c>
      <c r="E29" s="1512"/>
      <c r="F29" s="1513">
        <v>1213</v>
      </c>
      <c r="G29" s="1514">
        <v>37</v>
      </c>
      <c r="H29" s="1515">
        <v>2.1249999999999991</v>
      </c>
      <c r="I29" s="1513"/>
      <c r="J29" s="1514"/>
      <c r="K29" s="1515"/>
      <c r="L29" s="1516" t="s">
        <v>703</v>
      </c>
      <c r="M29" s="1517" t="s">
        <v>1397</v>
      </c>
      <c r="N29" s="1689"/>
      <c r="O29" s="1644"/>
      <c r="P29" s="245" t="b">
        <f t="shared" si="3"/>
        <v>0</v>
      </c>
      <c r="R29" s="245" t="b">
        <f t="shared" si="1"/>
        <v>0</v>
      </c>
      <c r="AO29" s="238" t="str">
        <f t="shared" si="2"/>
        <v>SG22</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1213</v>
      </c>
      <c r="G30" s="1514">
        <v>43</v>
      </c>
      <c r="H30" s="1515">
        <v>4.875</v>
      </c>
      <c r="I30" s="1513"/>
      <c r="J30" s="1514"/>
      <c r="K30" s="1515"/>
      <c r="L30" s="1516" t="s">
        <v>703</v>
      </c>
      <c r="M30" s="1517" t="s">
        <v>1397</v>
      </c>
      <c r="N30" s="1689" t="s">
        <v>116</v>
      </c>
      <c r="O30" s="1644"/>
      <c r="P30" s="245" t="b">
        <f t="shared" si="3"/>
        <v>0</v>
      </c>
      <c r="R30" s="245" t="b">
        <f t="shared" si="1"/>
        <v>0</v>
      </c>
      <c r="AO30" s="238" t="str">
        <f t="shared" si="2"/>
        <v>SG22</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167</v>
      </c>
      <c r="D31" s="1511" t="s">
        <v>145</v>
      </c>
      <c r="E31" s="1512"/>
      <c r="F31" s="1513">
        <v>1213</v>
      </c>
      <c r="G31" s="1514">
        <v>49</v>
      </c>
      <c r="H31" s="1515">
        <v>7.6250000000000009</v>
      </c>
      <c r="I31" s="1513"/>
      <c r="J31" s="1514"/>
      <c r="K31" s="1515"/>
      <c r="L31" s="1516" t="s">
        <v>703</v>
      </c>
      <c r="M31" s="1516" t="s">
        <v>1397</v>
      </c>
      <c r="N31" s="1689" t="s">
        <v>116</v>
      </c>
      <c r="O31" s="1644"/>
      <c r="P31" s="245" t="b">
        <f t="shared" si="3"/>
        <v>0</v>
      </c>
      <c r="R31" s="245" t="b">
        <f t="shared" si="1"/>
        <v>0</v>
      </c>
      <c r="AO31" s="238" t="str">
        <f t="shared" si="2"/>
        <v>SG22</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1898</v>
      </c>
      <c r="B32" s="1511" t="s">
        <v>154</v>
      </c>
      <c r="C32" s="1511" t="s">
        <v>165</v>
      </c>
      <c r="D32" s="1511" t="s">
        <v>145</v>
      </c>
      <c r="E32" s="1512"/>
      <c r="F32" s="1513">
        <v>1100</v>
      </c>
      <c r="G32" s="1514"/>
      <c r="H32" s="1515"/>
      <c r="I32" s="1513"/>
      <c r="J32" s="1514"/>
      <c r="K32" s="1515"/>
      <c r="L32" s="1516" t="s">
        <v>116</v>
      </c>
      <c r="M32" s="1516" t="s">
        <v>1397</v>
      </c>
      <c r="N32" s="1689" t="s">
        <v>116</v>
      </c>
      <c r="O32" s="1644"/>
      <c r="P32" s="245" t="b">
        <f t="shared" si="3"/>
        <v>0</v>
      </c>
      <c r="R32" s="245" t="b">
        <f t="shared" si="1"/>
        <v>1</v>
      </c>
      <c r="AO32" s="238" t="str">
        <f t="shared" si="2"/>
        <v>SG23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1320</v>
      </c>
      <c r="G33" s="1514">
        <v>43</v>
      </c>
      <c r="H33" s="1515">
        <v>6.875</v>
      </c>
      <c r="I33" s="1513">
        <v>1320</v>
      </c>
      <c r="J33" s="1514">
        <v>49</v>
      </c>
      <c r="K33" s="1515">
        <v>9.625</v>
      </c>
      <c r="L33" s="1516" t="s">
        <v>700</v>
      </c>
      <c r="M33" s="1516" t="s">
        <v>1397</v>
      </c>
      <c r="N33" s="1689" t="s">
        <v>116</v>
      </c>
      <c r="O33" s="1644"/>
      <c r="P33" s="245" t="b">
        <f t="shared" si="3"/>
        <v>0</v>
      </c>
      <c r="R33" s="245" t="b">
        <f t="shared" si="1"/>
        <v>0</v>
      </c>
      <c r="AO33" s="238" t="str">
        <f t="shared" si="2"/>
        <v>SG23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6684</v>
      </c>
      <c r="G34" s="1514">
        <v>6</v>
      </c>
      <c r="H34" s="1515">
        <v>0.375</v>
      </c>
      <c r="I34" s="1513"/>
      <c r="J34" s="1514"/>
      <c r="K34" s="1515"/>
      <c r="L34" s="1516" t="s">
        <v>703</v>
      </c>
      <c r="M34" s="1516" t="s">
        <v>1397</v>
      </c>
      <c r="N34" s="1689" t="s">
        <v>116</v>
      </c>
      <c r="O34" s="1644"/>
      <c r="P34" s="245" t="b">
        <f t="shared" si="3"/>
        <v>0</v>
      </c>
      <c r="R34" s="245" t="b">
        <f t="shared" si="1"/>
        <v>0</v>
      </c>
      <c r="AO34" s="238" t="str">
        <f t="shared" si="2"/>
        <v>SG23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6684</v>
      </c>
      <c r="G35" s="1514">
        <v>12</v>
      </c>
      <c r="H35" s="1515">
        <v>3.125</v>
      </c>
      <c r="I35" s="1513"/>
      <c r="J35" s="1514"/>
      <c r="K35" s="1515"/>
      <c r="L35" s="1516" t="s">
        <v>703</v>
      </c>
      <c r="M35" s="1516" t="s">
        <v>1397</v>
      </c>
      <c r="N35" s="1689" t="s">
        <v>116</v>
      </c>
      <c r="O35" s="1644"/>
      <c r="P35" s="245" t="b">
        <f t="shared" si="3"/>
        <v>0</v>
      </c>
      <c r="R35" s="245" t="b">
        <f t="shared" si="1"/>
        <v>0</v>
      </c>
      <c r="AO35" s="238" t="str">
        <f t="shared" si="2"/>
        <v>SG23</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6684</v>
      </c>
      <c r="G36" s="1514">
        <v>18</v>
      </c>
      <c r="H36" s="1515">
        <v>5.875</v>
      </c>
      <c r="I36" s="1513"/>
      <c r="J36" s="1514"/>
      <c r="K36" s="1515"/>
      <c r="L36" s="1516" t="s">
        <v>703</v>
      </c>
      <c r="M36" s="1516" t="s">
        <v>1397</v>
      </c>
      <c r="N36" s="1689" t="s">
        <v>116</v>
      </c>
      <c r="O36" s="1644"/>
      <c r="P36" s="245" t="b">
        <f t="shared" si="3"/>
        <v>0</v>
      </c>
      <c r="R36" s="245" t="b">
        <f t="shared" si="1"/>
        <v>0</v>
      </c>
      <c r="AO36" s="238" t="str">
        <f t="shared" si="2"/>
        <v>SG23</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6684</v>
      </c>
      <c r="G37" s="1514">
        <v>24</v>
      </c>
      <c r="H37" s="1515">
        <v>8.625</v>
      </c>
      <c r="I37" s="1513"/>
      <c r="J37" s="1514"/>
      <c r="K37" s="1515"/>
      <c r="L37" s="1516" t="s">
        <v>703</v>
      </c>
      <c r="M37" s="1516" t="s">
        <v>1397</v>
      </c>
      <c r="N37" s="1689" t="s">
        <v>116</v>
      </c>
      <c r="O37" s="1644"/>
      <c r="P37" s="245" t="b">
        <f t="shared" si="3"/>
        <v>0</v>
      </c>
      <c r="R37" s="245" t="b">
        <f t="shared" si="1"/>
        <v>0</v>
      </c>
      <c r="AO37" s="238" t="str">
        <f t="shared" si="2"/>
        <v>SG23</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6684</v>
      </c>
      <c r="G38" s="1514">
        <v>30</v>
      </c>
      <c r="H38" s="1515">
        <v>11.375</v>
      </c>
      <c r="I38" s="1513"/>
      <c r="J38" s="1514"/>
      <c r="K38" s="1515"/>
      <c r="L38" s="1516" t="s">
        <v>703</v>
      </c>
      <c r="M38" s="1516" t="s">
        <v>1397</v>
      </c>
      <c r="N38" s="1689" t="s">
        <v>116</v>
      </c>
      <c r="O38" s="1644"/>
      <c r="P38" s="245" t="b">
        <f t="shared" si="3"/>
        <v>0</v>
      </c>
      <c r="R38" s="245" t="b">
        <f t="shared" si="1"/>
        <v>0</v>
      </c>
      <c r="AO38" s="238" t="str">
        <f t="shared" si="2"/>
        <v>SG23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6684</v>
      </c>
      <c r="G39" s="1514">
        <v>37</v>
      </c>
      <c r="H39" s="1515">
        <v>2.1249999999999991</v>
      </c>
      <c r="I39" s="1513"/>
      <c r="J39" s="1514"/>
      <c r="K39" s="1515"/>
      <c r="L39" s="1516" t="s">
        <v>703</v>
      </c>
      <c r="M39" s="1516" t="s">
        <v>1397</v>
      </c>
      <c r="N39" s="1689" t="s">
        <v>116</v>
      </c>
      <c r="O39" s="1644"/>
      <c r="P39" s="245" t="b">
        <f t="shared" si="3"/>
        <v>0</v>
      </c>
      <c r="R39" s="245" t="b">
        <f t="shared" si="1"/>
        <v>0</v>
      </c>
      <c r="AO39" s="238" t="str">
        <f t="shared" si="2"/>
        <v>SG23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6684</v>
      </c>
      <c r="G40" s="1514">
        <v>43</v>
      </c>
      <c r="H40" s="1515">
        <v>4.875</v>
      </c>
      <c r="I40" s="1513"/>
      <c r="J40" s="1514"/>
      <c r="K40" s="1515"/>
      <c r="L40" s="1516" t="s">
        <v>703</v>
      </c>
      <c r="M40" s="1516" t="s">
        <v>1397</v>
      </c>
      <c r="N40" s="1689" t="s">
        <v>116</v>
      </c>
      <c r="O40" s="1644"/>
      <c r="P40" s="245" t="b">
        <f t="shared" si="3"/>
        <v>0</v>
      </c>
      <c r="R40" s="245" t="b">
        <f t="shared" si="1"/>
        <v>0</v>
      </c>
      <c r="AO40" s="238" t="str">
        <f t="shared" si="2"/>
        <v>SG23</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6684</v>
      </c>
      <c r="G41" s="1514">
        <v>49</v>
      </c>
      <c r="H41" s="1515">
        <v>7.6250000000000009</v>
      </c>
      <c r="I41" s="1513"/>
      <c r="J41" s="1514"/>
      <c r="K41" s="1515"/>
      <c r="L41" s="1516" t="s">
        <v>703</v>
      </c>
      <c r="M41" s="1516" t="s">
        <v>1397</v>
      </c>
      <c r="N41" s="1689" t="s">
        <v>116</v>
      </c>
      <c r="O41" s="1644"/>
      <c r="P41" s="245" t="b">
        <f t="shared" si="3"/>
        <v>0</v>
      </c>
      <c r="R41" s="245" t="b">
        <f t="shared" si="1"/>
        <v>0</v>
      </c>
      <c r="AO41" s="238" t="str">
        <f t="shared" si="2"/>
        <v>SG23</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167</v>
      </c>
      <c r="D42" s="1511" t="s">
        <v>145</v>
      </c>
      <c r="E42" s="1512"/>
      <c r="F42" s="1513">
        <v>1213</v>
      </c>
      <c r="G42" s="1514">
        <v>6</v>
      </c>
      <c r="H42" s="1515">
        <v>0.375</v>
      </c>
      <c r="I42" s="1513"/>
      <c r="J42" s="1514"/>
      <c r="K42" s="1515"/>
      <c r="L42" s="1516" t="s">
        <v>703</v>
      </c>
      <c r="M42" s="1516" t="s">
        <v>1397</v>
      </c>
      <c r="N42" s="1689" t="s">
        <v>116</v>
      </c>
      <c r="O42" s="1644"/>
      <c r="P42" s="245" t="b">
        <f t="shared" si="3"/>
        <v>0</v>
      </c>
      <c r="R42" s="245" t="b">
        <f t="shared" si="1"/>
        <v>0</v>
      </c>
      <c r="AO42" s="238" t="str">
        <f t="shared" si="2"/>
        <v>SG23</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167</v>
      </c>
      <c r="D43" s="1511" t="s">
        <v>145</v>
      </c>
      <c r="E43" s="1512"/>
      <c r="F43" s="1513">
        <v>1213</v>
      </c>
      <c r="G43" s="1514">
        <v>12</v>
      </c>
      <c r="H43" s="1515">
        <v>3.125</v>
      </c>
      <c r="I43" s="1513"/>
      <c r="J43" s="1514"/>
      <c r="K43" s="1515"/>
      <c r="L43" s="1516" t="s">
        <v>703</v>
      </c>
      <c r="M43" s="1516" t="s">
        <v>1397</v>
      </c>
      <c r="N43" s="1689" t="s">
        <v>116</v>
      </c>
      <c r="O43" s="1644"/>
      <c r="P43" s="245" t="b">
        <f t="shared" si="3"/>
        <v>0</v>
      </c>
      <c r="R43" s="245" t="b">
        <f t="shared" si="1"/>
        <v>0</v>
      </c>
      <c r="AO43" s="238" t="str">
        <f t="shared" si="2"/>
        <v>SG23</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167</v>
      </c>
      <c r="D44" s="1511" t="s">
        <v>145</v>
      </c>
      <c r="E44" s="1512"/>
      <c r="F44" s="1513">
        <v>1213</v>
      </c>
      <c r="G44" s="1514">
        <v>18</v>
      </c>
      <c r="H44" s="1515">
        <v>5.875</v>
      </c>
      <c r="I44" s="1513"/>
      <c r="J44" s="1514"/>
      <c r="K44" s="1515"/>
      <c r="L44" s="1516" t="s">
        <v>703</v>
      </c>
      <c r="M44" s="1516" t="s">
        <v>1397</v>
      </c>
      <c r="N44" s="1689" t="s">
        <v>116</v>
      </c>
      <c r="O44" s="1644"/>
      <c r="P44" s="245" t="b">
        <f t="shared" si="3"/>
        <v>0</v>
      </c>
      <c r="R44" s="245" t="b">
        <f t="shared" si="1"/>
        <v>0</v>
      </c>
      <c r="AO44" s="238" t="str">
        <f t="shared" si="2"/>
        <v>SG23</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167</v>
      </c>
      <c r="D45" s="1511" t="s">
        <v>145</v>
      </c>
      <c r="E45" s="1512"/>
      <c r="F45" s="1513">
        <v>1213</v>
      </c>
      <c r="G45" s="1514">
        <v>24</v>
      </c>
      <c r="H45" s="1515">
        <v>8.625</v>
      </c>
      <c r="I45" s="1513"/>
      <c r="J45" s="1514"/>
      <c r="K45" s="1515"/>
      <c r="L45" s="1516" t="s">
        <v>703</v>
      </c>
      <c r="M45" s="1516" t="s">
        <v>1397</v>
      </c>
      <c r="N45" s="1689" t="s">
        <v>116</v>
      </c>
      <c r="O45" s="1644"/>
      <c r="P45" s="245" t="b">
        <f t="shared" si="3"/>
        <v>0</v>
      </c>
      <c r="R45" s="245" t="b">
        <f t="shared" si="1"/>
        <v>0</v>
      </c>
      <c r="AO45" s="238" t="str">
        <f t="shared" si="2"/>
        <v>SG23</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167</v>
      </c>
      <c r="D46" s="1511" t="s">
        <v>145</v>
      </c>
      <c r="E46" s="1512"/>
      <c r="F46" s="1513">
        <v>1213</v>
      </c>
      <c r="G46" s="1514">
        <v>30</v>
      </c>
      <c r="H46" s="1515">
        <v>11.375</v>
      </c>
      <c r="I46" s="1513"/>
      <c r="J46" s="1514"/>
      <c r="K46" s="1515"/>
      <c r="L46" s="1516" t="s">
        <v>703</v>
      </c>
      <c r="M46" s="1516" t="s">
        <v>1397</v>
      </c>
      <c r="N46" s="1689" t="s">
        <v>116</v>
      </c>
      <c r="O46" s="1644"/>
      <c r="P46" s="245" t="b">
        <f t="shared" si="3"/>
        <v>0</v>
      </c>
      <c r="R46" s="245" t="b">
        <f t="shared" si="1"/>
        <v>0</v>
      </c>
      <c r="AO46" s="238" t="str">
        <f t="shared" si="2"/>
        <v>SG23</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167</v>
      </c>
      <c r="D47" s="1511" t="s">
        <v>145</v>
      </c>
      <c r="E47" s="1512"/>
      <c r="F47" s="1513">
        <v>1213</v>
      </c>
      <c r="G47" s="1514">
        <v>37</v>
      </c>
      <c r="H47" s="1515">
        <v>2.1249999999999991</v>
      </c>
      <c r="I47" s="1513"/>
      <c r="J47" s="1514"/>
      <c r="K47" s="1515"/>
      <c r="L47" s="1516" t="s">
        <v>703</v>
      </c>
      <c r="M47" s="1516" t="s">
        <v>1397</v>
      </c>
      <c r="N47" s="1689" t="s">
        <v>116</v>
      </c>
      <c r="O47" s="1644"/>
      <c r="P47" s="245" t="b">
        <f t="shared" si="3"/>
        <v>0</v>
      </c>
      <c r="R47" s="245" t="b">
        <f t="shared" si="1"/>
        <v>0</v>
      </c>
      <c r="AO47" s="238" t="str">
        <f t="shared" si="2"/>
        <v>SG23</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167</v>
      </c>
      <c r="D48" s="1511" t="s">
        <v>145</v>
      </c>
      <c r="E48" s="1512"/>
      <c r="F48" s="1513">
        <v>1213</v>
      </c>
      <c r="G48" s="1514">
        <v>43</v>
      </c>
      <c r="H48" s="1515">
        <v>4.875</v>
      </c>
      <c r="I48" s="1513"/>
      <c r="J48" s="1514"/>
      <c r="K48" s="1515"/>
      <c r="L48" s="1516" t="s">
        <v>703</v>
      </c>
      <c r="M48" s="1516" t="s">
        <v>1397</v>
      </c>
      <c r="N48" s="1689" t="s">
        <v>116</v>
      </c>
      <c r="O48" s="1644"/>
      <c r="P48" s="245" t="b">
        <f t="shared" si="3"/>
        <v>0</v>
      </c>
      <c r="R48" s="245" t="b">
        <f t="shared" si="1"/>
        <v>0</v>
      </c>
      <c r="AO48" s="238" t="str">
        <f t="shared" si="2"/>
        <v>SG23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1213</v>
      </c>
      <c r="G49" s="1514">
        <v>49</v>
      </c>
      <c r="H49" s="1515">
        <v>7.6250000000000009</v>
      </c>
      <c r="I49" s="1513"/>
      <c r="J49" s="1514"/>
      <c r="K49" s="1515"/>
      <c r="L49" s="1516" t="s">
        <v>703</v>
      </c>
      <c r="M49" s="1516" t="s">
        <v>1397</v>
      </c>
      <c r="N49" s="1689" t="s">
        <v>116</v>
      </c>
      <c r="O49" s="1644"/>
      <c r="P49" s="245" t="b">
        <f t="shared" si="3"/>
        <v>0</v>
      </c>
      <c r="R49" s="245" t="b">
        <f t="shared" si="1"/>
        <v>0</v>
      </c>
      <c r="AO49" s="238" t="str">
        <f t="shared" si="2"/>
        <v>SG23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t="s">
        <v>1899</v>
      </c>
      <c r="B50" s="1511" t="s">
        <v>148</v>
      </c>
      <c r="C50" s="1511" t="s">
        <v>165</v>
      </c>
      <c r="D50" s="1511" t="s">
        <v>145</v>
      </c>
      <c r="E50" s="1512"/>
      <c r="F50" s="1513">
        <v>1320</v>
      </c>
      <c r="G50" s="1514">
        <v>43</v>
      </c>
      <c r="H50" s="1515">
        <v>6.875</v>
      </c>
      <c r="I50" s="1513">
        <v>1320</v>
      </c>
      <c r="J50" s="1514">
        <v>49</v>
      </c>
      <c r="K50" s="1515">
        <v>9.625</v>
      </c>
      <c r="L50" s="1516" t="s">
        <v>700</v>
      </c>
      <c r="M50" s="1516" t="s">
        <v>1397</v>
      </c>
      <c r="N50" s="1689" t="s">
        <v>116</v>
      </c>
      <c r="O50" s="1644"/>
      <c r="P50" s="245" t="b">
        <f t="shared" si="3"/>
        <v>0</v>
      </c>
      <c r="R50" s="245" t="b">
        <f t="shared" si="1"/>
        <v>0</v>
      </c>
      <c r="AO50" s="238" t="str">
        <f t="shared" si="2"/>
        <v>SG24</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153</v>
      </c>
      <c r="C51" s="1511" t="s">
        <v>165</v>
      </c>
      <c r="D51" s="1511" t="s">
        <v>145</v>
      </c>
      <c r="E51" s="1512"/>
      <c r="F51" s="1513">
        <v>16300</v>
      </c>
      <c r="G51" s="1514">
        <v>54</v>
      </c>
      <c r="H51" s="1515">
        <v>8</v>
      </c>
      <c r="I51" s="1513"/>
      <c r="J51" s="1514"/>
      <c r="K51" s="1515"/>
      <c r="L51" s="1516" t="s">
        <v>703</v>
      </c>
      <c r="M51" s="1516" t="s">
        <v>1397</v>
      </c>
      <c r="N51" s="1689" t="s">
        <v>116</v>
      </c>
      <c r="O51" s="1644"/>
      <c r="P51" s="245" t="b">
        <f t="shared" si="3"/>
        <v>0</v>
      </c>
      <c r="R51" s="245" t="b">
        <f t="shared" si="1"/>
        <v>0</v>
      </c>
      <c r="AO51" s="238" t="str">
        <f t="shared" si="2"/>
        <v>SG24</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6684</v>
      </c>
      <c r="G52" s="1514">
        <v>6</v>
      </c>
      <c r="H52" s="1515">
        <v>0.375</v>
      </c>
      <c r="I52" s="1513"/>
      <c r="J52" s="1514"/>
      <c r="K52" s="1515"/>
      <c r="L52" s="1516" t="s">
        <v>703</v>
      </c>
      <c r="M52" s="1516" t="s">
        <v>1397</v>
      </c>
      <c r="N52" s="1689" t="s">
        <v>116</v>
      </c>
      <c r="O52" s="1644"/>
      <c r="P52" s="245" t="b">
        <f t="shared" si="3"/>
        <v>0</v>
      </c>
      <c r="R52" s="245" t="b">
        <f t="shared" si="1"/>
        <v>0</v>
      </c>
      <c r="AO52" s="238" t="str">
        <f t="shared" si="2"/>
        <v>SG24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6684</v>
      </c>
      <c r="G53" s="1514">
        <v>12</v>
      </c>
      <c r="H53" s="1515">
        <v>3.125</v>
      </c>
      <c r="I53" s="1513"/>
      <c r="J53" s="1514"/>
      <c r="K53" s="1515"/>
      <c r="L53" s="1516" t="s">
        <v>703</v>
      </c>
      <c r="M53" s="1516" t="s">
        <v>1397</v>
      </c>
      <c r="N53" s="1689" t="s">
        <v>116</v>
      </c>
      <c r="O53" s="1644"/>
      <c r="P53" s="245" t="b">
        <f t="shared" si="3"/>
        <v>0</v>
      </c>
      <c r="R53" s="245" t="b">
        <f t="shared" si="1"/>
        <v>0</v>
      </c>
      <c r="AO53" s="238" t="str">
        <f t="shared" si="2"/>
        <v>SG24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6684</v>
      </c>
      <c r="G54" s="1514">
        <v>18</v>
      </c>
      <c r="H54" s="1515">
        <v>5.875</v>
      </c>
      <c r="I54" s="1513"/>
      <c r="J54" s="1514"/>
      <c r="K54" s="1515"/>
      <c r="L54" s="1516" t="s">
        <v>703</v>
      </c>
      <c r="M54" s="1516" t="s">
        <v>1397</v>
      </c>
      <c r="N54" s="1689" t="s">
        <v>116</v>
      </c>
      <c r="O54" s="1644"/>
      <c r="P54" s="245" t="b">
        <f t="shared" si="3"/>
        <v>0</v>
      </c>
      <c r="R54" s="245" t="b">
        <f t="shared" si="1"/>
        <v>0</v>
      </c>
      <c r="AO54" s="238" t="str">
        <f t="shared" si="2"/>
        <v>SG24</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6684</v>
      </c>
      <c r="G55" s="1523">
        <v>24</v>
      </c>
      <c r="H55" s="1524">
        <v>8.625</v>
      </c>
      <c r="I55" s="1522"/>
      <c r="J55" s="1523"/>
      <c r="K55" s="1524"/>
      <c r="L55" s="1525" t="s">
        <v>703</v>
      </c>
      <c r="M55" s="1525" t="s">
        <v>1397</v>
      </c>
      <c r="N55" s="1690"/>
      <c r="O55" s="1644"/>
      <c r="P55" s="245" t="b">
        <f t="shared" si="3"/>
        <v>0</v>
      </c>
      <c r="R55" s="245" t="b">
        <f t="shared" si="1"/>
        <v>0</v>
      </c>
      <c r="AO55" s="238" t="str">
        <f t="shared" si="2"/>
        <v>SG24</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9" priority="4" stopIfTrue="1">
      <formula>AND($B14="NU",F14&lt;0)</formula>
    </cfRule>
  </conditionalFormatting>
  <conditionalFormatting sqref="B14:B55">
    <cfRule type="expression" dxfId="38" priority="5" stopIfTrue="1">
      <formula>OR(AND($B14="NU",F14&lt;0),AND($B14="NU",I14&lt;0))</formula>
    </cfRule>
  </conditionalFormatting>
  <conditionalFormatting sqref="G14:H55 J14:L55">
    <cfRule type="expression" dxfId="37" priority="6" stopIfTrue="1">
      <formula>$R14</formula>
    </cfRule>
  </conditionalFormatting>
  <conditionalFormatting sqref="I2:K4">
    <cfRule type="cellIs" dxfId="36" priority="7" stopIfTrue="1" operator="equal">
      <formula>""</formula>
    </cfRule>
  </conditionalFormatting>
  <conditionalFormatting sqref="I14:I55">
    <cfRule type="expression" dxfId="35" priority="8" stopIfTrue="1">
      <formula>OR($R14,$B14="CZ",AND($B14="NU",I14&lt;0))</formula>
    </cfRule>
  </conditionalFormatting>
  <conditionalFormatting sqref="A14:A55">
    <cfRule type="expression" dxfId="34" priority="3">
      <formula>NOT($P14)</formula>
    </cfRule>
  </conditionalFormatting>
  <conditionalFormatting sqref="B14:D55">
    <cfRule type="expression" dxfId="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2" priority="9">
      <formula>AND(NOT($P14),$T$1)</formula>
    </cfRule>
    <cfRule type="expression" dxfId="31" priority="10">
      <formula>AND($AP14,$S$1="M")</formula>
    </cfRule>
  </conditionalFormatting>
  <conditionalFormatting sqref="L14:L55">
    <cfRule type="expression" dxfId="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2F2139E-D91F-4AF6-A7CF-74614EEB17F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51BEC89-74BF-4470-A139-4ED67ACE32E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1EDB53E-6C35-42D2-AF8E-A95A27B6EA99}">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08FC0D6-9F9F-4E30-90E2-CD0A64D5E80B}">
      <formula1>IF($CA$14,$CA$16:$CA$21,$CB$16:$CB$19)</formula1>
    </dataValidation>
    <dataValidation type="list" allowBlank="1" showErrorMessage="1" errorTitle="Invalid Type" error="You MUST select a Type from the dropdown list provided._x000a__x000a_Also, make sure your Cap Lock is turned on." sqref="B14:B55" xr:uid="{E39E9286-7DDE-4872-8EE6-5F27857BF375}">
      <formula1>$BF$15:$BU$15</formula1>
    </dataValidation>
    <dataValidation allowBlank="1" showInputMessage="1" errorTitle="Invalid Load Case" error="You MUST use a Load Case from the list provided." sqref="M14:M55" xr:uid="{F6DC7C64-D6DC-4854-81AE-EBC5AFD42658}"/>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6CD49-C324-4C99-A910-88F905DE867A}">
  <sheetPr codeName="Sheet5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6684</v>
      </c>
      <c r="G14" s="1506">
        <v>30</v>
      </c>
      <c r="H14" s="1507">
        <v>11.375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6684</v>
      </c>
      <c r="G15" s="1514">
        <v>37</v>
      </c>
      <c r="H15" s="1515">
        <v>2.1249999999999991</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6684</v>
      </c>
      <c r="G16" s="1514">
        <v>43</v>
      </c>
      <c r="H16" s="1515">
        <v>4.875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49</v>
      </c>
      <c r="H17" s="1515">
        <v>7.6250000000000009</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167</v>
      </c>
      <c r="D18" s="1511" t="s">
        <v>145</v>
      </c>
      <c r="E18" s="1512"/>
      <c r="F18" s="1513">
        <v>1213</v>
      </c>
      <c r="G18" s="1514">
        <v>6</v>
      </c>
      <c r="H18" s="1515">
        <v>0.375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167</v>
      </c>
      <c r="D19" s="1511" t="s">
        <v>145</v>
      </c>
      <c r="E19" s="1512"/>
      <c r="F19" s="1513">
        <v>1213</v>
      </c>
      <c r="G19" s="1514">
        <v>12</v>
      </c>
      <c r="H19" s="1515">
        <v>3.125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167</v>
      </c>
      <c r="D20" s="1511" t="s">
        <v>145</v>
      </c>
      <c r="E20" s="1512"/>
      <c r="F20" s="1513">
        <v>1213</v>
      </c>
      <c r="G20" s="1514">
        <v>18</v>
      </c>
      <c r="H20" s="1515">
        <v>5.875</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167</v>
      </c>
      <c r="D21" s="1511" t="s">
        <v>145</v>
      </c>
      <c r="E21" s="1512"/>
      <c r="F21" s="1513">
        <v>1213</v>
      </c>
      <c r="G21" s="1514">
        <v>24</v>
      </c>
      <c r="H21" s="1515">
        <v>8.625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167</v>
      </c>
      <c r="D22" s="1511" t="s">
        <v>145</v>
      </c>
      <c r="E22" s="1512"/>
      <c r="F22" s="1513">
        <v>1213</v>
      </c>
      <c r="G22" s="1514">
        <v>30</v>
      </c>
      <c r="H22" s="1515">
        <v>11.375</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167</v>
      </c>
      <c r="D23" s="1511" t="s">
        <v>145</v>
      </c>
      <c r="E23" s="1512"/>
      <c r="F23" s="1513">
        <v>1213</v>
      </c>
      <c r="G23" s="1514">
        <v>37</v>
      </c>
      <c r="H23" s="1515">
        <v>2.1249999999999991</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1213</v>
      </c>
      <c r="G24" s="1514">
        <v>43</v>
      </c>
      <c r="H24" s="1515">
        <v>4.875</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1213</v>
      </c>
      <c r="G25" s="1514">
        <v>49</v>
      </c>
      <c r="H25" s="1515">
        <v>7.6250000000000009</v>
      </c>
      <c r="I25" s="1513"/>
      <c r="J25" s="1514"/>
      <c r="K25" s="1515"/>
      <c r="L25" s="1516" t="s">
        <v>703</v>
      </c>
      <c r="M25" s="1517" t="s">
        <v>1397</v>
      </c>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1900</v>
      </c>
      <c r="B26" s="1511" t="s">
        <v>154</v>
      </c>
      <c r="C26" s="1511" t="s">
        <v>165</v>
      </c>
      <c r="D26" s="1511" t="s">
        <v>145</v>
      </c>
      <c r="E26" s="1512"/>
      <c r="F26" s="1513">
        <v>1100</v>
      </c>
      <c r="G26" s="1514"/>
      <c r="H26" s="1515"/>
      <c r="I26" s="1513"/>
      <c r="J26" s="1514"/>
      <c r="K26" s="1515"/>
      <c r="L26" s="1516" t="s">
        <v>116</v>
      </c>
      <c r="M26" s="1517" t="s">
        <v>1397</v>
      </c>
      <c r="N26" s="1518"/>
      <c r="O26" s="1645"/>
      <c r="P26" s="245" t="b">
        <f t="shared" si="3"/>
        <v>0</v>
      </c>
      <c r="R26" s="245" t="b">
        <f t="shared" si="1"/>
        <v>1</v>
      </c>
      <c r="AO26" s="238" t="str">
        <f t="shared" si="2"/>
        <v>SG25</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1320</v>
      </c>
      <c r="G27" s="1514">
        <v>43</v>
      </c>
      <c r="H27" s="1515">
        <v>6.875</v>
      </c>
      <c r="I27" s="1513">
        <v>1320</v>
      </c>
      <c r="J27" s="1514">
        <v>49</v>
      </c>
      <c r="K27" s="1515">
        <v>9.625</v>
      </c>
      <c r="L27" s="1516" t="s">
        <v>700</v>
      </c>
      <c r="M27" s="1517" t="s">
        <v>1397</v>
      </c>
      <c r="N27" s="1518"/>
      <c r="O27" s="1645"/>
      <c r="P27" s="245" t="b">
        <f t="shared" si="3"/>
        <v>0</v>
      </c>
      <c r="R27" s="245" t="b">
        <f t="shared" si="1"/>
        <v>0</v>
      </c>
      <c r="AO27" s="238" t="str">
        <f t="shared" si="2"/>
        <v>SG25</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6274</v>
      </c>
      <c r="G28" s="1514">
        <v>6</v>
      </c>
      <c r="H28" s="1515">
        <v>0.375</v>
      </c>
      <c r="I28" s="1513"/>
      <c r="J28" s="1514"/>
      <c r="K28" s="1515"/>
      <c r="L28" s="1516" t="s">
        <v>703</v>
      </c>
      <c r="M28" s="1517" t="s">
        <v>1397</v>
      </c>
      <c r="N28" s="1689"/>
      <c r="O28" s="1644"/>
      <c r="P28" s="245" t="b">
        <f t="shared" si="3"/>
        <v>0</v>
      </c>
      <c r="R28" s="245" t="b">
        <f t="shared" si="1"/>
        <v>0</v>
      </c>
      <c r="AO28" s="238" t="str">
        <f t="shared" si="2"/>
        <v>SG25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6274</v>
      </c>
      <c r="G29" s="1514">
        <v>12</v>
      </c>
      <c r="H29" s="1515">
        <v>3.125</v>
      </c>
      <c r="I29" s="1513"/>
      <c r="J29" s="1514"/>
      <c r="K29" s="1515"/>
      <c r="L29" s="1516" t="s">
        <v>703</v>
      </c>
      <c r="M29" s="1517" t="s">
        <v>1397</v>
      </c>
      <c r="N29" s="1689"/>
      <c r="O29" s="1644"/>
      <c r="P29" s="245" t="b">
        <f t="shared" si="3"/>
        <v>0</v>
      </c>
      <c r="R29" s="245" t="b">
        <f t="shared" si="1"/>
        <v>0</v>
      </c>
      <c r="AO29" s="238" t="str">
        <f t="shared" si="2"/>
        <v>SG25</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6274</v>
      </c>
      <c r="G30" s="1514">
        <v>18</v>
      </c>
      <c r="H30" s="1515">
        <v>5.875</v>
      </c>
      <c r="I30" s="1513"/>
      <c r="J30" s="1514"/>
      <c r="K30" s="1515"/>
      <c r="L30" s="1516" t="s">
        <v>703</v>
      </c>
      <c r="M30" s="1517" t="s">
        <v>1397</v>
      </c>
      <c r="N30" s="1689" t="s">
        <v>116</v>
      </c>
      <c r="O30" s="1644"/>
      <c r="P30" s="245" t="b">
        <f t="shared" si="3"/>
        <v>0</v>
      </c>
      <c r="R30" s="245" t="b">
        <f t="shared" si="1"/>
        <v>0</v>
      </c>
      <c r="AO30" s="238" t="str">
        <f t="shared" si="2"/>
        <v>SG25</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6274</v>
      </c>
      <c r="G31" s="1514">
        <v>24</v>
      </c>
      <c r="H31" s="1515">
        <v>8.625</v>
      </c>
      <c r="I31" s="1513"/>
      <c r="J31" s="1514"/>
      <c r="K31" s="1515"/>
      <c r="L31" s="1516" t="s">
        <v>703</v>
      </c>
      <c r="M31" s="1516" t="s">
        <v>1397</v>
      </c>
      <c r="N31" s="1689" t="s">
        <v>116</v>
      </c>
      <c r="O31" s="1644"/>
      <c r="P31" s="245" t="b">
        <f t="shared" si="3"/>
        <v>0</v>
      </c>
      <c r="R31" s="245" t="b">
        <f t="shared" si="1"/>
        <v>0</v>
      </c>
      <c r="AO31" s="238" t="str">
        <f t="shared" si="2"/>
        <v>SG25</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6274</v>
      </c>
      <c r="G32" s="1514">
        <v>30</v>
      </c>
      <c r="H32" s="1515">
        <v>11.375</v>
      </c>
      <c r="I32" s="1513"/>
      <c r="J32" s="1514"/>
      <c r="K32" s="1515"/>
      <c r="L32" s="1516" t="s">
        <v>703</v>
      </c>
      <c r="M32" s="1516" t="s">
        <v>1397</v>
      </c>
      <c r="N32" s="1689" t="s">
        <v>116</v>
      </c>
      <c r="O32" s="1644"/>
      <c r="P32" s="245" t="b">
        <f t="shared" si="3"/>
        <v>0</v>
      </c>
      <c r="R32" s="245" t="b">
        <f t="shared" si="1"/>
        <v>0</v>
      </c>
      <c r="AO32" s="238" t="str">
        <f t="shared" si="2"/>
        <v>SG25</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6274</v>
      </c>
      <c r="G33" s="1514">
        <v>37</v>
      </c>
      <c r="H33" s="1515">
        <v>2.1249999999999991</v>
      </c>
      <c r="I33" s="1513"/>
      <c r="J33" s="1514"/>
      <c r="K33" s="1515"/>
      <c r="L33" s="1516" t="s">
        <v>703</v>
      </c>
      <c r="M33" s="1516" t="s">
        <v>1397</v>
      </c>
      <c r="N33" s="1689" t="s">
        <v>116</v>
      </c>
      <c r="O33" s="1644"/>
      <c r="P33" s="245" t="b">
        <f t="shared" si="3"/>
        <v>0</v>
      </c>
      <c r="R33" s="245" t="b">
        <f t="shared" si="1"/>
        <v>0</v>
      </c>
      <c r="AO33" s="238" t="str">
        <f t="shared" si="2"/>
        <v>SG25</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6274</v>
      </c>
      <c r="G34" s="1514">
        <v>43</v>
      </c>
      <c r="H34" s="1515">
        <v>4.875</v>
      </c>
      <c r="I34" s="1513"/>
      <c r="J34" s="1514"/>
      <c r="K34" s="1515"/>
      <c r="L34" s="1516" t="s">
        <v>703</v>
      </c>
      <c r="M34" s="1516" t="s">
        <v>1397</v>
      </c>
      <c r="N34" s="1689" t="s">
        <v>116</v>
      </c>
      <c r="O34" s="1644"/>
      <c r="P34" s="245" t="b">
        <f t="shared" si="3"/>
        <v>0</v>
      </c>
      <c r="R34" s="245" t="b">
        <f t="shared" si="1"/>
        <v>0</v>
      </c>
      <c r="AO34" s="238" t="str">
        <f t="shared" si="2"/>
        <v>SG25</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6274</v>
      </c>
      <c r="G35" s="1514">
        <v>49</v>
      </c>
      <c r="H35" s="1515">
        <v>7.6250000000000009</v>
      </c>
      <c r="I35" s="1513"/>
      <c r="J35" s="1514"/>
      <c r="K35" s="1515"/>
      <c r="L35" s="1516" t="s">
        <v>703</v>
      </c>
      <c r="M35" s="1516" t="s">
        <v>1397</v>
      </c>
      <c r="N35" s="1689" t="s">
        <v>116</v>
      </c>
      <c r="O35" s="1644"/>
      <c r="P35" s="245" t="b">
        <f t="shared" si="3"/>
        <v>0</v>
      </c>
      <c r="R35" s="245" t="b">
        <f t="shared" si="1"/>
        <v>0</v>
      </c>
      <c r="AO35" s="238" t="str">
        <f t="shared" si="2"/>
        <v>SG25</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1139</v>
      </c>
      <c r="G36" s="1514">
        <v>6</v>
      </c>
      <c r="H36" s="1515">
        <v>0.375</v>
      </c>
      <c r="I36" s="1513"/>
      <c r="J36" s="1514"/>
      <c r="K36" s="1515"/>
      <c r="L36" s="1516" t="s">
        <v>703</v>
      </c>
      <c r="M36" s="1516" t="s">
        <v>1397</v>
      </c>
      <c r="N36" s="1689" t="s">
        <v>116</v>
      </c>
      <c r="O36" s="1644"/>
      <c r="P36" s="245" t="b">
        <f t="shared" si="3"/>
        <v>0</v>
      </c>
      <c r="R36" s="245" t="b">
        <f t="shared" si="1"/>
        <v>0</v>
      </c>
      <c r="AO36" s="238" t="str">
        <f t="shared" si="2"/>
        <v>SG25</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1139</v>
      </c>
      <c r="G37" s="1514">
        <v>12</v>
      </c>
      <c r="H37" s="1515">
        <v>3.125</v>
      </c>
      <c r="I37" s="1513"/>
      <c r="J37" s="1514"/>
      <c r="K37" s="1515"/>
      <c r="L37" s="1516" t="s">
        <v>703</v>
      </c>
      <c r="M37" s="1516" t="s">
        <v>1397</v>
      </c>
      <c r="N37" s="1689" t="s">
        <v>116</v>
      </c>
      <c r="O37" s="1644"/>
      <c r="P37" s="245" t="b">
        <f t="shared" si="3"/>
        <v>0</v>
      </c>
      <c r="R37" s="245" t="b">
        <f t="shared" si="1"/>
        <v>0</v>
      </c>
      <c r="AO37" s="238" t="str">
        <f t="shared" si="2"/>
        <v>SG25</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167</v>
      </c>
      <c r="D38" s="1511" t="s">
        <v>145</v>
      </c>
      <c r="E38" s="1512"/>
      <c r="F38" s="1513">
        <v>1139</v>
      </c>
      <c r="G38" s="1514">
        <v>18</v>
      </c>
      <c r="H38" s="1515">
        <v>5.875</v>
      </c>
      <c r="I38" s="1513"/>
      <c r="J38" s="1514"/>
      <c r="K38" s="1515"/>
      <c r="L38" s="1516" t="s">
        <v>703</v>
      </c>
      <c r="M38" s="1516" t="s">
        <v>1397</v>
      </c>
      <c r="N38" s="1689" t="s">
        <v>116</v>
      </c>
      <c r="O38" s="1644"/>
      <c r="P38" s="245" t="b">
        <f t="shared" si="3"/>
        <v>0</v>
      </c>
      <c r="R38" s="245" t="b">
        <f t="shared" si="1"/>
        <v>0</v>
      </c>
      <c r="AO38" s="238" t="str">
        <f t="shared" si="2"/>
        <v>SG25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167</v>
      </c>
      <c r="D39" s="1511" t="s">
        <v>145</v>
      </c>
      <c r="E39" s="1512"/>
      <c r="F39" s="1513">
        <v>1139</v>
      </c>
      <c r="G39" s="1514">
        <v>24</v>
      </c>
      <c r="H39" s="1515">
        <v>8.625</v>
      </c>
      <c r="I39" s="1513"/>
      <c r="J39" s="1514"/>
      <c r="K39" s="1515"/>
      <c r="L39" s="1516" t="s">
        <v>703</v>
      </c>
      <c r="M39" s="1516" t="s">
        <v>1397</v>
      </c>
      <c r="N39" s="1689" t="s">
        <v>116</v>
      </c>
      <c r="O39" s="1644"/>
      <c r="P39" s="245" t="b">
        <f t="shared" si="3"/>
        <v>0</v>
      </c>
      <c r="R39" s="245" t="b">
        <f t="shared" si="1"/>
        <v>0</v>
      </c>
      <c r="AO39" s="238" t="str">
        <f t="shared" si="2"/>
        <v>SG25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167</v>
      </c>
      <c r="D40" s="1511" t="s">
        <v>145</v>
      </c>
      <c r="E40" s="1512"/>
      <c r="F40" s="1513">
        <v>1139</v>
      </c>
      <c r="G40" s="1514">
        <v>30</v>
      </c>
      <c r="H40" s="1515">
        <v>11.375</v>
      </c>
      <c r="I40" s="1513"/>
      <c r="J40" s="1514"/>
      <c r="K40" s="1515"/>
      <c r="L40" s="1516" t="s">
        <v>703</v>
      </c>
      <c r="M40" s="1516" t="s">
        <v>1397</v>
      </c>
      <c r="N40" s="1689" t="s">
        <v>116</v>
      </c>
      <c r="O40" s="1644"/>
      <c r="P40" s="245" t="b">
        <f t="shared" si="3"/>
        <v>0</v>
      </c>
      <c r="R40" s="245" t="b">
        <f t="shared" si="1"/>
        <v>0</v>
      </c>
      <c r="AO40" s="238" t="str">
        <f t="shared" si="2"/>
        <v>SG25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167</v>
      </c>
      <c r="D41" s="1511" t="s">
        <v>145</v>
      </c>
      <c r="E41" s="1512"/>
      <c r="F41" s="1513">
        <v>1139</v>
      </c>
      <c r="G41" s="1514">
        <v>37</v>
      </c>
      <c r="H41" s="1515">
        <v>2.1249999999999991</v>
      </c>
      <c r="I41" s="1513"/>
      <c r="J41" s="1514"/>
      <c r="K41" s="1515"/>
      <c r="L41" s="1516" t="s">
        <v>703</v>
      </c>
      <c r="M41" s="1516" t="s">
        <v>1397</v>
      </c>
      <c r="N41" s="1689" t="s">
        <v>116</v>
      </c>
      <c r="O41" s="1644"/>
      <c r="P41" s="245" t="b">
        <f t="shared" si="3"/>
        <v>0</v>
      </c>
      <c r="R41" s="245" t="b">
        <f t="shared" si="1"/>
        <v>0</v>
      </c>
      <c r="AO41" s="238" t="str">
        <f t="shared" si="2"/>
        <v>SG25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167</v>
      </c>
      <c r="D42" s="1511" t="s">
        <v>145</v>
      </c>
      <c r="E42" s="1512"/>
      <c r="F42" s="1513">
        <v>1139</v>
      </c>
      <c r="G42" s="1514">
        <v>43</v>
      </c>
      <c r="H42" s="1515">
        <v>4.875</v>
      </c>
      <c r="I42" s="1513"/>
      <c r="J42" s="1514"/>
      <c r="K42" s="1515"/>
      <c r="L42" s="1516" t="s">
        <v>703</v>
      </c>
      <c r="M42" s="1516" t="s">
        <v>1397</v>
      </c>
      <c r="N42" s="1689" t="s">
        <v>116</v>
      </c>
      <c r="O42" s="1644"/>
      <c r="P42" s="245" t="b">
        <f t="shared" si="3"/>
        <v>0</v>
      </c>
      <c r="R42" s="245" t="b">
        <f t="shared" si="1"/>
        <v>0</v>
      </c>
      <c r="AO42" s="238" t="str">
        <f t="shared" si="2"/>
        <v>SG25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167</v>
      </c>
      <c r="D43" s="1511" t="s">
        <v>145</v>
      </c>
      <c r="E43" s="1512"/>
      <c r="F43" s="1513">
        <v>1139</v>
      </c>
      <c r="G43" s="1514">
        <v>49</v>
      </c>
      <c r="H43" s="1515">
        <v>7.6250000000000009</v>
      </c>
      <c r="I43" s="1513"/>
      <c r="J43" s="1514"/>
      <c r="K43" s="1515"/>
      <c r="L43" s="1516" t="s">
        <v>703</v>
      </c>
      <c r="M43" s="1516" t="s">
        <v>1397</v>
      </c>
      <c r="N43" s="1689" t="s">
        <v>116</v>
      </c>
      <c r="O43" s="1644"/>
      <c r="P43" s="245" t="b">
        <f t="shared" si="3"/>
        <v>0</v>
      </c>
      <c r="R43" s="245" t="b">
        <f t="shared" si="1"/>
        <v>0</v>
      </c>
      <c r="AO43" s="238" t="str">
        <f t="shared" si="2"/>
        <v>SG25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1901</v>
      </c>
      <c r="B44" s="1511" t="s">
        <v>148</v>
      </c>
      <c r="C44" s="1511" t="s">
        <v>165</v>
      </c>
      <c r="D44" s="1511" t="s">
        <v>145</v>
      </c>
      <c r="E44" s="1512"/>
      <c r="F44" s="1513">
        <v>1320</v>
      </c>
      <c r="G44" s="1514">
        <v>43</v>
      </c>
      <c r="H44" s="1515">
        <v>6.875</v>
      </c>
      <c r="I44" s="1513">
        <v>1320</v>
      </c>
      <c r="J44" s="1514">
        <v>49</v>
      </c>
      <c r="K44" s="1515">
        <v>9.625</v>
      </c>
      <c r="L44" s="1516" t="s">
        <v>700</v>
      </c>
      <c r="M44" s="1516" t="s">
        <v>1397</v>
      </c>
      <c r="N44" s="1689" t="s">
        <v>116</v>
      </c>
      <c r="O44" s="1644"/>
      <c r="P44" s="245" t="b">
        <f t="shared" si="3"/>
        <v>0</v>
      </c>
      <c r="R44" s="245" t="b">
        <f t="shared" si="1"/>
        <v>0</v>
      </c>
      <c r="AO44" s="238" t="str">
        <f t="shared" si="2"/>
        <v>SG26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153</v>
      </c>
      <c r="C45" s="1511" t="s">
        <v>165</v>
      </c>
      <c r="D45" s="1511" t="s">
        <v>145</v>
      </c>
      <c r="E45" s="1512"/>
      <c r="F45" s="1513">
        <v>15300</v>
      </c>
      <c r="G45" s="1514">
        <v>54</v>
      </c>
      <c r="H45" s="1515">
        <v>8</v>
      </c>
      <c r="I45" s="1513"/>
      <c r="J45" s="1514"/>
      <c r="K45" s="1515"/>
      <c r="L45" s="1516" t="s">
        <v>703</v>
      </c>
      <c r="M45" s="1516" t="s">
        <v>1397</v>
      </c>
      <c r="N45" s="1689" t="s">
        <v>116</v>
      </c>
      <c r="O45" s="1644"/>
      <c r="P45" s="245" t="b">
        <f t="shared" si="3"/>
        <v>0</v>
      </c>
      <c r="R45" s="245" t="b">
        <f t="shared" si="1"/>
        <v>0</v>
      </c>
      <c r="AO45" s="238" t="str">
        <f t="shared" si="2"/>
        <v>SG26</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6274</v>
      </c>
      <c r="G46" s="1514">
        <v>6</v>
      </c>
      <c r="H46" s="1515">
        <v>0.375</v>
      </c>
      <c r="I46" s="1513"/>
      <c r="J46" s="1514"/>
      <c r="K46" s="1515"/>
      <c r="L46" s="1516" t="s">
        <v>703</v>
      </c>
      <c r="M46" s="1516" t="s">
        <v>1397</v>
      </c>
      <c r="N46" s="1689" t="s">
        <v>116</v>
      </c>
      <c r="O46" s="1644"/>
      <c r="P46" s="245" t="b">
        <f t="shared" si="3"/>
        <v>0</v>
      </c>
      <c r="R46" s="245" t="b">
        <f t="shared" si="1"/>
        <v>0</v>
      </c>
      <c r="AO46" s="238" t="str">
        <f t="shared" si="2"/>
        <v>SG26</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6274</v>
      </c>
      <c r="G47" s="1514">
        <v>12</v>
      </c>
      <c r="H47" s="1515">
        <v>3.125</v>
      </c>
      <c r="I47" s="1513"/>
      <c r="J47" s="1514"/>
      <c r="K47" s="1515"/>
      <c r="L47" s="1516" t="s">
        <v>703</v>
      </c>
      <c r="M47" s="1516" t="s">
        <v>1397</v>
      </c>
      <c r="N47" s="1689" t="s">
        <v>116</v>
      </c>
      <c r="O47" s="1644"/>
      <c r="P47" s="245" t="b">
        <f t="shared" si="3"/>
        <v>0</v>
      </c>
      <c r="R47" s="245" t="b">
        <f t="shared" si="1"/>
        <v>0</v>
      </c>
      <c r="AO47" s="238" t="str">
        <f t="shared" si="2"/>
        <v>SG26</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6274</v>
      </c>
      <c r="G48" s="1514">
        <v>18</v>
      </c>
      <c r="H48" s="1515">
        <v>5.875</v>
      </c>
      <c r="I48" s="1513"/>
      <c r="J48" s="1514"/>
      <c r="K48" s="1515"/>
      <c r="L48" s="1516" t="s">
        <v>703</v>
      </c>
      <c r="M48" s="1516" t="s">
        <v>1397</v>
      </c>
      <c r="N48" s="1689" t="s">
        <v>116</v>
      </c>
      <c r="O48" s="1644"/>
      <c r="P48" s="245" t="b">
        <f t="shared" si="3"/>
        <v>0</v>
      </c>
      <c r="R48" s="245" t="b">
        <f t="shared" si="1"/>
        <v>0</v>
      </c>
      <c r="AO48" s="238" t="str">
        <f t="shared" si="2"/>
        <v>SG26</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6274</v>
      </c>
      <c r="G49" s="1514">
        <v>24</v>
      </c>
      <c r="H49" s="1515">
        <v>8.625</v>
      </c>
      <c r="I49" s="1513"/>
      <c r="J49" s="1514"/>
      <c r="K49" s="1515"/>
      <c r="L49" s="1516" t="s">
        <v>703</v>
      </c>
      <c r="M49" s="1516" t="s">
        <v>1397</v>
      </c>
      <c r="N49" s="1689" t="s">
        <v>116</v>
      </c>
      <c r="O49" s="1644"/>
      <c r="P49" s="245" t="b">
        <f t="shared" si="3"/>
        <v>0</v>
      </c>
      <c r="R49" s="245" t="b">
        <f t="shared" si="1"/>
        <v>0</v>
      </c>
      <c r="AO49" s="238" t="str">
        <f t="shared" si="2"/>
        <v>SG26</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6274</v>
      </c>
      <c r="G50" s="1514">
        <v>30</v>
      </c>
      <c r="H50" s="1515">
        <v>11.375</v>
      </c>
      <c r="I50" s="1513"/>
      <c r="J50" s="1514"/>
      <c r="K50" s="1515"/>
      <c r="L50" s="1516" t="s">
        <v>703</v>
      </c>
      <c r="M50" s="1516" t="s">
        <v>1397</v>
      </c>
      <c r="N50" s="1689" t="s">
        <v>116</v>
      </c>
      <c r="O50" s="1644"/>
      <c r="P50" s="245" t="b">
        <f t="shared" si="3"/>
        <v>0</v>
      </c>
      <c r="R50" s="245" t="b">
        <f t="shared" si="1"/>
        <v>0</v>
      </c>
      <c r="AO50" s="238" t="str">
        <f t="shared" si="2"/>
        <v>SG26</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6274</v>
      </c>
      <c r="G51" s="1514">
        <v>37</v>
      </c>
      <c r="H51" s="1515">
        <v>2.1249999999999991</v>
      </c>
      <c r="I51" s="1513"/>
      <c r="J51" s="1514"/>
      <c r="K51" s="1515"/>
      <c r="L51" s="1516" t="s">
        <v>703</v>
      </c>
      <c r="M51" s="1516" t="s">
        <v>1397</v>
      </c>
      <c r="N51" s="1689" t="s">
        <v>116</v>
      </c>
      <c r="O51" s="1644"/>
      <c r="P51" s="245" t="b">
        <f t="shared" si="3"/>
        <v>0</v>
      </c>
      <c r="R51" s="245" t="b">
        <f t="shared" si="1"/>
        <v>0</v>
      </c>
      <c r="AO51" s="238" t="str">
        <f t="shared" si="2"/>
        <v>SG26</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6274</v>
      </c>
      <c r="G52" s="1514">
        <v>43</v>
      </c>
      <c r="H52" s="1515">
        <v>4.875</v>
      </c>
      <c r="I52" s="1513"/>
      <c r="J52" s="1514"/>
      <c r="K52" s="1515"/>
      <c r="L52" s="1516" t="s">
        <v>703</v>
      </c>
      <c r="M52" s="1516" t="s">
        <v>1397</v>
      </c>
      <c r="N52" s="1689" t="s">
        <v>116</v>
      </c>
      <c r="O52" s="1644"/>
      <c r="P52" s="245" t="b">
        <f t="shared" si="3"/>
        <v>0</v>
      </c>
      <c r="R52" s="245" t="b">
        <f t="shared" si="1"/>
        <v>0</v>
      </c>
      <c r="AO52" s="238" t="str">
        <f t="shared" si="2"/>
        <v>SG26</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6274</v>
      </c>
      <c r="G53" s="1514">
        <v>49</v>
      </c>
      <c r="H53" s="1515">
        <v>7.6250000000000009</v>
      </c>
      <c r="I53" s="1513"/>
      <c r="J53" s="1514"/>
      <c r="K53" s="1515"/>
      <c r="L53" s="1516" t="s">
        <v>703</v>
      </c>
      <c r="M53" s="1516" t="s">
        <v>1397</v>
      </c>
      <c r="N53" s="1689" t="s">
        <v>116</v>
      </c>
      <c r="O53" s="1644"/>
      <c r="P53" s="245" t="b">
        <f t="shared" si="3"/>
        <v>0</v>
      </c>
      <c r="R53" s="245" t="b">
        <f t="shared" si="1"/>
        <v>0</v>
      </c>
      <c r="AO53" s="238" t="str">
        <f t="shared" si="2"/>
        <v>SG26</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1139</v>
      </c>
      <c r="G54" s="1514">
        <v>6</v>
      </c>
      <c r="H54" s="1515">
        <v>0.375</v>
      </c>
      <c r="I54" s="1513"/>
      <c r="J54" s="1514"/>
      <c r="K54" s="1515"/>
      <c r="L54" s="1516" t="s">
        <v>703</v>
      </c>
      <c r="M54" s="1516" t="s">
        <v>1397</v>
      </c>
      <c r="N54" s="1689" t="s">
        <v>116</v>
      </c>
      <c r="O54" s="1644"/>
      <c r="P54" s="245" t="b">
        <f t="shared" si="3"/>
        <v>0</v>
      </c>
      <c r="R54" s="245" t="b">
        <f t="shared" si="1"/>
        <v>0</v>
      </c>
      <c r="AO54" s="238" t="str">
        <f t="shared" si="2"/>
        <v>SG26</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167</v>
      </c>
      <c r="D55" s="1520" t="s">
        <v>145</v>
      </c>
      <c r="E55" s="1521"/>
      <c r="F55" s="1522">
        <v>1139</v>
      </c>
      <c r="G55" s="1523">
        <v>12</v>
      </c>
      <c r="H55" s="1524">
        <v>3.125</v>
      </c>
      <c r="I55" s="1522"/>
      <c r="J55" s="1523"/>
      <c r="K55" s="1524"/>
      <c r="L55" s="1525" t="s">
        <v>703</v>
      </c>
      <c r="M55" s="1525" t="s">
        <v>1397</v>
      </c>
      <c r="N55" s="1690"/>
      <c r="O55" s="1644"/>
      <c r="P55" s="245" t="b">
        <f t="shared" si="3"/>
        <v>0</v>
      </c>
      <c r="R55" s="245" t="b">
        <f t="shared" si="1"/>
        <v>0</v>
      </c>
      <c r="AO55" s="238" t="str">
        <f t="shared" si="2"/>
        <v>SG26</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4" stopIfTrue="1">
      <formula>AND($B14="NU",F14&lt;0)</formula>
    </cfRule>
  </conditionalFormatting>
  <conditionalFormatting sqref="B14:B55">
    <cfRule type="expression" dxfId="28" priority="5" stopIfTrue="1">
      <formula>OR(AND($B14="NU",F14&lt;0),AND($B14="NU",I14&lt;0))</formula>
    </cfRule>
  </conditionalFormatting>
  <conditionalFormatting sqref="G14:H55 J14:L55">
    <cfRule type="expression" dxfId="27" priority="6" stopIfTrue="1">
      <formula>$R14</formula>
    </cfRule>
  </conditionalFormatting>
  <conditionalFormatting sqref="I2:K4">
    <cfRule type="cellIs" dxfId="26" priority="7" stopIfTrue="1" operator="equal">
      <formula>""</formula>
    </cfRule>
  </conditionalFormatting>
  <conditionalFormatting sqref="I14:I55">
    <cfRule type="expression" dxfId="25" priority="8" stopIfTrue="1">
      <formula>OR($R14,$B14="CZ",AND($B14="NU",I14&lt;0))</formula>
    </cfRule>
  </conditionalFormatting>
  <conditionalFormatting sqref="A14:A55">
    <cfRule type="expression" dxfId="24" priority="3">
      <formula>NOT($P14)</formula>
    </cfRule>
  </conditionalFormatting>
  <conditionalFormatting sqref="B14:D55">
    <cfRule type="expression" dxfId="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2" priority="9">
      <formula>AND(NOT($P14),$T$1)</formula>
    </cfRule>
    <cfRule type="expression" dxfId="21" priority="10">
      <formula>AND($AP14,$S$1="M")</formula>
    </cfRule>
  </conditionalFormatting>
  <conditionalFormatting sqref="L14:L55">
    <cfRule type="expression" dxfId="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4F25C4B-C5E9-445D-81B9-B95BFC05F05E}">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24D6B13-A7F9-4CFD-962A-4C5C9C629F7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140E145D-D988-4DDC-B04A-5C40BB22830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555AAFB-9459-48E0-8EAF-5EF0394F24FF}">
      <formula1>IF($CA$14,$CA$16:$CA$21,$CB$16:$CB$19)</formula1>
    </dataValidation>
    <dataValidation type="list" allowBlank="1" showErrorMessage="1" errorTitle="Invalid Type" error="You MUST select a Type from the dropdown list provided._x000a__x000a_Also, make sure your Cap Lock is turned on." sqref="B14:B55" xr:uid="{B282FA59-E2CA-4137-BC0B-295F9D36419A}">
      <formula1>$BF$15:$BU$15</formula1>
    </dataValidation>
    <dataValidation allowBlank="1" showInputMessage="1" errorTitle="Invalid Load Case" error="You MUST use a Load Case from the list provided." sqref="M14:M55" xr:uid="{990931B5-CB74-4C40-B14A-AADD70F90E6B}"/>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01F22-D82B-4308-9AD1-A17CFBB4395A}">
  <sheetPr codeName="Sheet5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167</v>
      </c>
      <c r="D14" s="1504" t="s">
        <v>145</v>
      </c>
      <c r="E14" s="1687"/>
      <c r="F14" s="1505">
        <v>1139</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167</v>
      </c>
      <c r="D15" s="1511" t="s">
        <v>145</v>
      </c>
      <c r="E15" s="1512"/>
      <c r="F15" s="1513">
        <v>1139</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167</v>
      </c>
      <c r="D16" s="1511" t="s">
        <v>145</v>
      </c>
      <c r="E16" s="1512"/>
      <c r="F16" s="1513">
        <v>1139</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167</v>
      </c>
      <c r="D17" s="1511" t="s">
        <v>145</v>
      </c>
      <c r="E17" s="1512"/>
      <c r="F17" s="1513">
        <v>1139</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167</v>
      </c>
      <c r="D18" s="1511" t="s">
        <v>145</v>
      </c>
      <c r="E18" s="1512"/>
      <c r="F18" s="1513">
        <v>1139</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167</v>
      </c>
      <c r="D19" s="1511" t="s">
        <v>145</v>
      </c>
      <c r="E19" s="1512"/>
      <c r="F19" s="1513">
        <v>1139</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1902</v>
      </c>
      <c r="B20" s="1511" t="s">
        <v>148</v>
      </c>
      <c r="C20" s="1511" t="s">
        <v>165</v>
      </c>
      <c r="D20" s="1511" t="s">
        <v>145</v>
      </c>
      <c r="E20" s="1512"/>
      <c r="F20" s="1513">
        <v>1320</v>
      </c>
      <c r="G20" s="1514">
        <v>43</v>
      </c>
      <c r="H20" s="1515">
        <v>6.875</v>
      </c>
      <c r="I20" s="1513">
        <v>1320</v>
      </c>
      <c r="J20" s="1514">
        <v>49</v>
      </c>
      <c r="K20" s="1515">
        <v>9.625</v>
      </c>
      <c r="L20" s="1516" t="s">
        <v>700</v>
      </c>
      <c r="M20" s="1517" t="s">
        <v>1397</v>
      </c>
      <c r="N20" s="1518"/>
      <c r="O20" s="1645"/>
      <c r="P20" s="245" t="b">
        <f t="shared" si="3"/>
        <v>0</v>
      </c>
      <c r="R20" s="245" t="b">
        <f t="shared" si="1"/>
        <v>0</v>
      </c>
      <c r="AO20" s="238" t="str">
        <f t="shared" si="2"/>
        <v>SG27</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153</v>
      </c>
      <c r="C21" s="1511" t="s">
        <v>165</v>
      </c>
      <c r="D21" s="1511" t="s">
        <v>145</v>
      </c>
      <c r="E21" s="1512"/>
      <c r="F21" s="1513">
        <v>13800</v>
      </c>
      <c r="G21" s="1514">
        <v>54</v>
      </c>
      <c r="H21" s="1515">
        <v>8</v>
      </c>
      <c r="I21" s="1513"/>
      <c r="J21" s="1514"/>
      <c r="K21" s="1515"/>
      <c r="L21" s="1516" t="s">
        <v>703</v>
      </c>
      <c r="M21" s="1517" t="s">
        <v>1397</v>
      </c>
      <c r="N21" s="1518"/>
      <c r="O21" s="1645"/>
      <c r="P21" s="245" t="b">
        <f t="shared" si="3"/>
        <v>0</v>
      </c>
      <c r="R21" s="245" t="b">
        <f t="shared" si="1"/>
        <v>0</v>
      </c>
      <c r="AO21" s="238" t="str">
        <f t="shared" si="2"/>
        <v>SG27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5659</v>
      </c>
      <c r="G22" s="1514">
        <v>6</v>
      </c>
      <c r="H22" s="1515">
        <v>0.375</v>
      </c>
      <c r="I22" s="1513"/>
      <c r="J22" s="1514"/>
      <c r="K22" s="1515"/>
      <c r="L22" s="1516" t="s">
        <v>703</v>
      </c>
      <c r="M22" s="1517" t="s">
        <v>1397</v>
      </c>
      <c r="N22" s="1518"/>
      <c r="O22" s="1645"/>
      <c r="P22" s="245" t="b">
        <f t="shared" si="3"/>
        <v>0</v>
      </c>
      <c r="R22" s="245" t="b">
        <f t="shared" si="1"/>
        <v>0</v>
      </c>
      <c r="AO22" s="238" t="str">
        <f t="shared" si="2"/>
        <v>SG27</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5659</v>
      </c>
      <c r="G23" s="1514">
        <v>12</v>
      </c>
      <c r="H23" s="1515">
        <v>3.125</v>
      </c>
      <c r="I23" s="1513"/>
      <c r="J23" s="1514"/>
      <c r="K23" s="1515"/>
      <c r="L23" s="1516" t="s">
        <v>703</v>
      </c>
      <c r="M23" s="1517" t="s">
        <v>1397</v>
      </c>
      <c r="N23" s="1518"/>
      <c r="O23" s="1645"/>
      <c r="P23" s="245" t="b">
        <f t="shared" si="3"/>
        <v>0</v>
      </c>
      <c r="R23" s="245" t="b">
        <f t="shared" si="1"/>
        <v>0</v>
      </c>
      <c r="AO23" s="238" t="str">
        <f t="shared" si="2"/>
        <v>SG27</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5659</v>
      </c>
      <c r="G24" s="1514">
        <v>18</v>
      </c>
      <c r="H24" s="1515">
        <v>5.875</v>
      </c>
      <c r="I24" s="1513"/>
      <c r="J24" s="1514"/>
      <c r="K24" s="1515"/>
      <c r="L24" s="1516" t="s">
        <v>703</v>
      </c>
      <c r="M24" s="1517" t="s">
        <v>1397</v>
      </c>
      <c r="N24" s="1518"/>
      <c r="O24" s="1645"/>
      <c r="P24" s="245" t="b">
        <f t="shared" si="3"/>
        <v>0</v>
      </c>
      <c r="R24" s="245" t="b">
        <f t="shared" si="1"/>
        <v>0</v>
      </c>
      <c r="AO24" s="238" t="str">
        <f t="shared" si="2"/>
        <v>SG27</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5659</v>
      </c>
      <c r="G25" s="1514">
        <v>24</v>
      </c>
      <c r="H25" s="1515">
        <v>8.625</v>
      </c>
      <c r="I25" s="1513"/>
      <c r="J25" s="1514"/>
      <c r="K25" s="1515"/>
      <c r="L25" s="1516" t="s">
        <v>703</v>
      </c>
      <c r="M25" s="1517" t="s">
        <v>1397</v>
      </c>
      <c r="N25" s="1518"/>
      <c r="O25" s="1645"/>
      <c r="P25" s="245" t="b">
        <f t="shared" si="3"/>
        <v>0</v>
      </c>
      <c r="R25" s="245" t="b">
        <f t="shared" si="1"/>
        <v>0</v>
      </c>
      <c r="AO25" s="238" t="str">
        <f t="shared" si="2"/>
        <v>SG27</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5659</v>
      </c>
      <c r="G26" s="1514">
        <v>30</v>
      </c>
      <c r="H26" s="1515">
        <v>11.375</v>
      </c>
      <c r="I26" s="1513"/>
      <c r="J26" s="1514"/>
      <c r="K26" s="1515"/>
      <c r="L26" s="1516" t="s">
        <v>703</v>
      </c>
      <c r="M26" s="1517" t="s">
        <v>1397</v>
      </c>
      <c r="N26" s="1518"/>
      <c r="O26" s="1645"/>
      <c r="P26" s="245" t="b">
        <f t="shared" si="3"/>
        <v>0</v>
      </c>
      <c r="R26" s="245" t="b">
        <f t="shared" si="1"/>
        <v>0</v>
      </c>
      <c r="AO26" s="238" t="str">
        <f t="shared" si="2"/>
        <v>SG27</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5659</v>
      </c>
      <c r="G27" s="1514">
        <v>37</v>
      </c>
      <c r="H27" s="1515">
        <v>2.1249999999999991</v>
      </c>
      <c r="I27" s="1513"/>
      <c r="J27" s="1514"/>
      <c r="K27" s="1515"/>
      <c r="L27" s="1516" t="s">
        <v>703</v>
      </c>
      <c r="M27" s="1517" t="s">
        <v>1397</v>
      </c>
      <c r="N27" s="1518"/>
      <c r="O27" s="1645"/>
      <c r="P27" s="245" t="b">
        <f t="shared" si="3"/>
        <v>0</v>
      </c>
      <c r="R27" s="245" t="b">
        <f t="shared" si="1"/>
        <v>0</v>
      </c>
      <c r="AO27" s="238" t="str">
        <f t="shared" si="2"/>
        <v>SG27</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5659</v>
      </c>
      <c r="G28" s="1514">
        <v>43</v>
      </c>
      <c r="H28" s="1515">
        <v>4.875</v>
      </c>
      <c r="I28" s="1513"/>
      <c r="J28" s="1514"/>
      <c r="K28" s="1515"/>
      <c r="L28" s="1516" t="s">
        <v>703</v>
      </c>
      <c r="M28" s="1517" t="s">
        <v>1397</v>
      </c>
      <c r="N28" s="1689"/>
      <c r="O28" s="1644"/>
      <c r="P28" s="245" t="b">
        <f t="shared" si="3"/>
        <v>0</v>
      </c>
      <c r="R28" s="245" t="b">
        <f t="shared" si="1"/>
        <v>0</v>
      </c>
      <c r="AO28" s="238" t="str">
        <f t="shared" si="2"/>
        <v>SG27</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5659</v>
      </c>
      <c r="G29" s="1514">
        <v>49</v>
      </c>
      <c r="H29" s="1515">
        <v>7.6250000000000009</v>
      </c>
      <c r="I29" s="1513"/>
      <c r="J29" s="1514"/>
      <c r="K29" s="1515"/>
      <c r="L29" s="1516" t="s">
        <v>703</v>
      </c>
      <c r="M29" s="1517" t="s">
        <v>1397</v>
      </c>
      <c r="N29" s="1689"/>
      <c r="O29" s="1644"/>
      <c r="P29" s="245" t="b">
        <f t="shared" si="3"/>
        <v>0</v>
      </c>
      <c r="R29" s="245" t="b">
        <f t="shared" si="1"/>
        <v>0</v>
      </c>
      <c r="AO29" s="238" t="str">
        <f t="shared" si="2"/>
        <v>SG27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1027</v>
      </c>
      <c r="G30" s="1514">
        <v>6</v>
      </c>
      <c r="H30" s="1515">
        <v>0.375</v>
      </c>
      <c r="I30" s="1513"/>
      <c r="J30" s="1514"/>
      <c r="K30" s="1515"/>
      <c r="L30" s="1516" t="s">
        <v>703</v>
      </c>
      <c r="M30" s="1517" t="s">
        <v>1397</v>
      </c>
      <c r="N30" s="1689" t="s">
        <v>116</v>
      </c>
      <c r="O30" s="1644"/>
      <c r="P30" s="245" t="b">
        <f t="shared" si="3"/>
        <v>0</v>
      </c>
      <c r="R30" s="245" t="b">
        <f t="shared" si="1"/>
        <v>0</v>
      </c>
      <c r="AO30" s="238" t="str">
        <f t="shared" si="2"/>
        <v>SG27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167</v>
      </c>
      <c r="D31" s="1511" t="s">
        <v>145</v>
      </c>
      <c r="E31" s="1512"/>
      <c r="F31" s="1513">
        <v>1027</v>
      </c>
      <c r="G31" s="1514">
        <v>12</v>
      </c>
      <c r="H31" s="1515">
        <v>3.125</v>
      </c>
      <c r="I31" s="1513"/>
      <c r="J31" s="1514"/>
      <c r="K31" s="1515"/>
      <c r="L31" s="1516" t="s">
        <v>703</v>
      </c>
      <c r="M31" s="1516" t="s">
        <v>1397</v>
      </c>
      <c r="N31" s="1689" t="s">
        <v>116</v>
      </c>
      <c r="O31" s="1644"/>
      <c r="P31" s="245" t="b">
        <f t="shared" si="3"/>
        <v>0</v>
      </c>
      <c r="R31" s="245" t="b">
        <f t="shared" si="1"/>
        <v>0</v>
      </c>
      <c r="AO31" s="238" t="str">
        <f t="shared" si="2"/>
        <v>SG27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167</v>
      </c>
      <c r="D32" s="1511" t="s">
        <v>145</v>
      </c>
      <c r="E32" s="1512"/>
      <c r="F32" s="1513">
        <v>1027</v>
      </c>
      <c r="G32" s="1514">
        <v>18</v>
      </c>
      <c r="H32" s="1515">
        <v>5.875</v>
      </c>
      <c r="I32" s="1513"/>
      <c r="J32" s="1514"/>
      <c r="K32" s="1515"/>
      <c r="L32" s="1516" t="s">
        <v>703</v>
      </c>
      <c r="M32" s="1516" t="s">
        <v>1397</v>
      </c>
      <c r="N32" s="1689" t="s">
        <v>116</v>
      </c>
      <c r="O32" s="1644"/>
      <c r="P32" s="245" t="b">
        <f t="shared" si="3"/>
        <v>0</v>
      </c>
      <c r="R32" s="245" t="b">
        <f t="shared" si="1"/>
        <v>0</v>
      </c>
      <c r="AO32" s="238" t="str">
        <f t="shared" si="2"/>
        <v>SG27</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167</v>
      </c>
      <c r="D33" s="1511" t="s">
        <v>145</v>
      </c>
      <c r="E33" s="1512"/>
      <c r="F33" s="1513">
        <v>1027</v>
      </c>
      <c r="G33" s="1514">
        <v>24</v>
      </c>
      <c r="H33" s="1515">
        <v>8.625</v>
      </c>
      <c r="I33" s="1513"/>
      <c r="J33" s="1514"/>
      <c r="K33" s="1515"/>
      <c r="L33" s="1516" t="s">
        <v>703</v>
      </c>
      <c r="M33" s="1516" t="s">
        <v>1397</v>
      </c>
      <c r="N33" s="1689" t="s">
        <v>116</v>
      </c>
      <c r="O33" s="1644"/>
      <c r="P33" s="245" t="b">
        <f t="shared" si="3"/>
        <v>0</v>
      </c>
      <c r="R33" s="245" t="b">
        <f t="shared" si="1"/>
        <v>0</v>
      </c>
      <c r="AO33" s="238" t="str">
        <f t="shared" si="2"/>
        <v>SG27</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167</v>
      </c>
      <c r="D34" s="1511" t="s">
        <v>145</v>
      </c>
      <c r="E34" s="1512"/>
      <c r="F34" s="1513">
        <v>1027</v>
      </c>
      <c r="G34" s="1514">
        <v>30</v>
      </c>
      <c r="H34" s="1515">
        <v>11.375</v>
      </c>
      <c r="I34" s="1513"/>
      <c r="J34" s="1514"/>
      <c r="K34" s="1515"/>
      <c r="L34" s="1516" t="s">
        <v>703</v>
      </c>
      <c r="M34" s="1516" t="s">
        <v>1397</v>
      </c>
      <c r="N34" s="1689" t="s">
        <v>116</v>
      </c>
      <c r="O34" s="1644"/>
      <c r="P34" s="245" t="b">
        <f t="shared" si="3"/>
        <v>0</v>
      </c>
      <c r="R34" s="245" t="b">
        <f t="shared" si="1"/>
        <v>0</v>
      </c>
      <c r="AO34" s="238" t="str">
        <f t="shared" si="2"/>
        <v>SG27</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167</v>
      </c>
      <c r="D35" s="1511" t="s">
        <v>145</v>
      </c>
      <c r="E35" s="1512"/>
      <c r="F35" s="1513">
        <v>1027</v>
      </c>
      <c r="G35" s="1514">
        <v>37</v>
      </c>
      <c r="H35" s="1515">
        <v>2.1249999999999991</v>
      </c>
      <c r="I35" s="1513"/>
      <c r="J35" s="1514"/>
      <c r="K35" s="1515"/>
      <c r="L35" s="1516" t="s">
        <v>703</v>
      </c>
      <c r="M35" s="1516" t="s">
        <v>1397</v>
      </c>
      <c r="N35" s="1689" t="s">
        <v>116</v>
      </c>
      <c r="O35" s="1644"/>
      <c r="P35" s="245" t="b">
        <f t="shared" si="3"/>
        <v>0</v>
      </c>
      <c r="R35" s="245" t="b">
        <f t="shared" si="1"/>
        <v>0</v>
      </c>
      <c r="AO35" s="238" t="str">
        <f t="shared" si="2"/>
        <v>SG27</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167</v>
      </c>
      <c r="D36" s="1511" t="s">
        <v>145</v>
      </c>
      <c r="E36" s="1512"/>
      <c r="F36" s="1513">
        <v>1027</v>
      </c>
      <c r="G36" s="1514">
        <v>43</v>
      </c>
      <c r="H36" s="1515">
        <v>4.875</v>
      </c>
      <c r="I36" s="1513"/>
      <c r="J36" s="1514"/>
      <c r="K36" s="1515"/>
      <c r="L36" s="1516" t="s">
        <v>703</v>
      </c>
      <c r="M36" s="1516" t="s">
        <v>1397</v>
      </c>
      <c r="N36" s="1689" t="s">
        <v>116</v>
      </c>
      <c r="O36" s="1644"/>
      <c r="P36" s="245" t="b">
        <f t="shared" si="3"/>
        <v>0</v>
      </c>
      <c r="R36" s="245" t="b">
        <f t="shared" si="1"/>
        <v>0</v>
      </c>
      <c r="AO36" s="238" t="str">
        <f t="shared" si="2"/>
        <v>SG27</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167</v>
      </c>
      <c r="D37" s="1511" t="s">
        <v>145</v>
      </c>
      <c r="E37" s="1512"/>
      <c r="F37" s="1513">
        <v>1027</v>
      </c>
      <c r="G37" s="1514">
        <v>49</v>
      </c>
      <c r="H37" s="1515">
        <v>7.6250000000000009</v>
      </c>
      <c r="I37" s="1513"/>
      <c r="J37" s="1514"/>
      <c r="K37" s="1515"/>
      <c r="L37" s="1516" t="s">
        <v>703</v>
      </c>
      <c r="M37" s="1516" t="s">
        <v>1397</v>
      </c>
      <c r="N37" s="1689" t="s">
        <v>116</v>
      </c>
      <c r="O37" s="1644"/>
      <c r="P37" s="245" t="b">
        <f t="shared" si="3"/>
        <v>0</v>
      </c>
      <c r="R37" s="245" t="b">
        <f t="shared" si="1"/>
        <v>0</v>
      </c>
      <c r="AO37" s="238" t="str">
        <f t="shared" si="2"/>
        <v>SG27</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1903</v>
      </c>
      <c r="B38" s="1511" t="s">
        <v>154</v>
      </c>
      <c r="C38" s="1511" t="s">
        <v>165</v>
      </c>
      <c r="D38" s="1511" t="s">
        <v>145</v>
      </c>
      <c r="E38" s="1512"/>
      <c r="F38" s="1513">
        <v>1100</v>
      </c>
      <c r="G38" s="1514"/>
      <c r="H38" s="1515"/>
      <c r="I38" s="1513"/>
      <c r="J38" s="1514"/>
      <c r="K38" s="1515"/>
      <c r="L38" s="1516" t="s">
        <v>116</v>
      </c>
      <c r="M38" s="1516" t="s">
        <v>1397</v>
      </c>
      <c r="N38" s="1689" t="s">
        <v>116</v>
      </c>
      <c r="O38" s="1644"/>
      <c r="P38" s="245" t="b">
        <f t="shared" si="3"/>
        <v>0</v>
      </c>
      <c r="R38" s="245" t="b">
        <f t="shared" si="1"/>
        <v>1</v>
      </c>
      <c r="AO38" s="238" t="str">
        <f t="shared" si="2"/>
        <v>SG28</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7503</v>
      </c>
      <c r="G39" s="1514">
        <v>6</v>
      </c>
      <c r="H39" s="1515">
        <v>0.375</v>
      </c>
      <c r="I39" s="1513"/>
      <c r="J39" s="1514"/>
      <c r="K39" s="1515"/>
      <c r="L39" s="1516" t="s">
        <v>703</v>
      </c>
      <c r="M39" s="1516" t="s">
        <v>1397</v>
      </c>
      <c r="N39" s="1689" t="s">
        <v>116</v>
      </c>
      <c r="O39" s="1644"/>
      <c r="P39" s="245" t="b">
        <f t="shared" si="3"/>
        <v>0</v>
      </c>
      <c r="R39" s="245" t="b">
        <f t="shared" si="1"/>
        <v>0</v>
      </c>
      <c r="AO39" s="238" t="str">
        <f t="shared" si="2"/>
        <v>SG28</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7503</v>
      </c>
      <c r="G40" s="1514">
        <v>12</v>
      </c>
      <c r="H40" s="1515">
        <v>3.125</v>
      </c>
      <c r="I40" s="1513"/>
      <c r="J40" s="1514"/>
      <c r="K40" s="1515"/>
      <c r="L40" s="1516" t="s">
        <v>703</v>
      </c>
      <c r="M40" s="1516" t="s">
        <v>1397</v>
      </c>
      <c r="N40" s="1689" t="s">
        <v>116</v>
      </c>
      <c r="O40" s="1644"/>
      <c r="P40" s="245" t="b">
        <f t="shared" si="3"/>
        <v>0</v>
      </c>
      <c r="R40" s="245" t="b">
        <f t="shared" si="1"/>
        <v>0</v>
      </c>
      <c r="AO40" s="238" t="str">
        <f t="shared" si="2"/>
        <v>SG28</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7503</v>
      </c>
      <c r="G41" s="1514">
        <v>18</v>
      </c>
      <c r="H41" s="1515">
        <v>5.875</v>
      </c>
      <c r="I41" s="1513"/>
      <c r="J41" s="1514"/>
      <c r="K41" s="1515"/>
      <c r="L41" s="1516" t="s">
        <v>703</v>
      </c>
      <c r="M41" s="1516" t="s">
        <v>1397</v>
      </c>
      <c r="N41" s="1689" t="s">
        <v>116</v>
      </c>
      <c r="O41" s="1644"/>
      <c r="P41" s="245" t="b">
        <f t="shared" si="3"/>
        <v>0</v>
      </c>
      <c r="R41" s="245" t="b">
        <f t="shared" si="1"/>
        <v>0</v>
      </c>
      <c r="AO41" s="238" t="str">
        <f t="shared" si="2"/>
        <v>SG28</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7503</v>
      </c>
      <c r="G42" s="1514">
        <v>24</v>
      </c>
      <c r="H42" s="1515">
        <v>8.625</v>
      </c>
      <c r="I42" s="1513"/>
      <c r="J42" s="1514"/>
      <c r="K42" s="1515"/>
      <c r="L42" s="1516" t="s">
        <v>703</v>
      </c>
      <c r="M42" s="1516" t="s">
        <v>1397</v>
      </c>
      <c r="N42" s="1689" t="s">
        <v>116</v>
      </c>
      <c r="O42" s="1644"/>
      <c r="P42" s="245" t="b">
        <f t="shared" si="3"/>
        <v>0</v>
      </c>
      <c r="R42" s="245" t="b">
        <f t="shared" si="1"/>
        <v>0</v>
      </c>
      <c r="AO42" s="238" t="str">
        <f t="shared" si="2"/>
        <v>SG28</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7503</v>
      </c>
      <c r="G43" s="1514">
        <v>30</v>
      </c>
      <c r="H43" s="1515">
        <v>11.375</v>
      </c>
      <c r="I43" s="1513"/>
      <c r="J43" s="1514"/>
      <c r="K43" s="1515"/>
      <c r="L43" s="1516" t="s">
        <v>703</v>
      </c>
      <c r="M43" s="1516" t="s">
        <v>1397</v>
      </c>
      <c r="N43" s="1689" t="s">
        <v>116</v>
      </c>
      <c r="O43" s="1644"/>
      <c r="P43" s="245" t="b">
        <f t="shared" si="3"/>
        <v>0</v>
      </c>
      <c r="R43" s="245" t="b">
        <f t="shared" si="1"/>
        <v>0</v>
      </c>
      <c r="AO43" s="238" t="str">
        <f t="shared" si="2"/>
        <v>SG28</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7503</v>
      </c>
      <c r="G44" s="1514">
        <v>37</v>
      </c>
      <c r="H44" s="1515">
        <v>2.1249999999999991</v>
      </c>
      <c r="I44" s="1513"/>
      <c r="J44" s="1514"/>
      <c r="K44" s="1515"/>
      <c r="L44" s="1516" t="s">
        <v>703</v>
      </c>
      <c r="M44" s="1516" t="s">
        <v>1397</v>
      </c>
      <c r="N44" s="1689" t="s">
        <v>116</v>
      </c>
      <c r="O44" s="1644"/>
      <c r="P44" s="245" t="b">
        <f t="shared" si="3"/>
        <v>0</v>
      </c>
      <c r="R44" s="245" t="b">
        <f t="shared" si="1"/>
        <v>0</v>
      </c>
      <c r="AO44" s="238" t="str">
        <f t="shared" si="2"/>
        <v>SG28</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7503</v>
      </c>
      <c r="G45" s="1514">
        <v>43</v>
      </c>
      <c r="H45" s="1515">
        <v>4.875</v>
      </c>
      <c r="I45" s="1513"/>
      <c r="J45" s="1514"/>
      <c r="K45" s="1515"/>
      <c r="L45" s="1516" t="s">
        <v>703</v>
      </c>
      <c r="M45" s="1516" t="s">
        <v>1397</v>
      </c>
      <c r="N45" s="1689" t="s">
        <v>116</v>
      </c>
      <c r="O45" s="1644"/>
      <c r="P45" s="245" t="b">
        <f t="shared" si="3"/>
        <v>0</v>
      </c>
      <c r="R45" s="245" t="b">
        <f t="shared" si="1"/>
        <v>0</v>
      </c>
      <c r="AO45" s="238" t="str">
        <f t="shared" si="2"/>
        <v>SG28</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7503</v>
      </c>
      <c r="G46" s="1514">
        <v>49</v>
      </c>
      <c r="H46" s="1515">
        <v>7.6250000000000009</v>
      </c>
      <c r="I46" s="1513"/>
      <c r="J46" s="1514"/>
      <c r="K46" s="1515"/>
      <c r="L46" s="1516" t="s">
        <v>703</v>
      </c>
      <c r="M46" s="1516" t="s">
        <v>1397</v>
      </c>
      <c r="N46" s="1689" t="s">
        <v>116</v>
      </c>
      <c r="O46" s="1644"/>
      <c r="P46" s="245" t="b">
        <f t="shared" si="3"/>
        <v>0</v>
      </c>
      <c r="R46" s="245" t="b">
        <f t="shared" si="1"/>
        <v>0</v>
      </c>
      <c r="AO46" s="238" t="str">
        <f t="shared" si="2"/>
        <v>SG28</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167</v>
      </c>
      <c r="D47" s="1511" t="s">
        <v>145</v>
      </c>
      <c r="E47" s="1512"/>
      <c r="F47" s="1513">
        <v>1362</v>
      </c>
      <c r="G47" s="1514">
        <v>6</v>
      </c>
      <c r="H47" s="1515">
        <v>0.375</v>
      </c>
      <c r="I47" s="1513"/>
      <c r="J47" s="1514"/>
      <c r="K47" s="1515"/>
      <c r="L47" s="1516" t="s">
        <v>703</v>
      </c>
      <c r="M47" s="1516" t="s">
        <v>1397</v>
      </c>
      <c r="N47" s="1689" t="s">
        <v>116</v>
      </c>
      <c r="O47" s="1644"/>
      <c r="P47" s="245" t="b">
        <f t="shared" si="3"/>
        <v>0</v>
      </c>
      <c r="R47" s="245" t="b">
        <f t="shared" si="1"/>
        <v>0</v>
      </c>
      <c r="AO47" s="238" t="str">
        <f t="shared" si="2"/>
        <v>SG28</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167</v>
      </c>
      <c r="D48" s="1511" t="s">
        <v>145</v>
      </c>
      <c r="E48" s="1512"/>
      <c r="F48" s="1513">
        <v>1362</v>
      </c>
      <c r="G48" s="1514">
        <v>12</v>
      </c>
      <c r="H48" s="1515">
        <v>3.125</v>
      </c>
      <c r="I48" s="1513"/>
      <c r="J48" s="1514"/>
      <c r="K48" s="1515"/>
      <c r="L48" s="1516" t="s">
        <v>703</v>
      </c>
      <c r="M48" s="1516" t="s">
        <v>1397</v>
      </c>
      <c r="N48" s="1689" t="s">
        <v>116</v>
      </c>
      <c r="O48" s="1644"/>
      <c r="P48" s="245" t="b">
        <f t="shared" si="3"/>
        <v>0</v>
      </c>
      <c r="R48" s="245" t="b">
        <f t="shared" si="1"/>
        <v>0</v>
      </c>
      <c r="AO48" s="238" t="str">
        <f t="shared" si="2"/>
        <v>SG28</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167</v>
      </c>
      <c r="D49" s="1511" t="s">
        <v>145</v>
      </c>
      <c r="E49" s="1512"/>
      <c r="F49" s="1513">
        <v>1362</v>
      </c>
      <c r="G49" s="1514">
        <v>18</v>
      </c>
      <c r="H49" s="1515">
        <v>5.875</v>
      </c>
      <c r="I49" s="1513"/>
      <c r="J49" s="1514"/>
      <c r="K49" s="1515"/>
      <c r="L49" s="1516" t="s">
        <v>703</v>
      </c>
      <c r="M49" s="1516" t="s">
        <v>1397</v>
      </c>
      <c r="N49" s="1689" t="s">
        <v>116</v>
      </c>
      <c r="O49" s="1644"/>
      <c r="P49" s="245" t="b">
        <f t="shared" si="3"/>
        <v>0</v>
      </c>
      <c r="R49" s="245" t="b">
        <f t="shared" si="1"/>
        <v>0</v>
      </c>
      <c r="AO49" s="238" t="str">
        <f t="shared" si="2"/>
        <v>SG28</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167</v>
      </c>
      <c r="D50" s="1511" t="s">
        <v>145</v>
      </c>
      <c r="E50" s="1512"/>
      <c r="F50" s="1513">
        <v>1362</v>
      </c>
      <c r="G50" s="1514">
        <v>24</v>
      </c>
      <c r="H50" s="1515">
        <v>8.625</v>
      </c>
      <c r="I50" s="1513"/>
      <c r="J50" s="1514"/>
      <c r="K50" s="1515"/>
      <c r="L50" s="1516" t="s">
        <v>703</v>
      </c>
      <c r="M50" s="1516" t="s">
        <v>1397</v>
      </c>
      <c r="N50" s="1689" t="s">
        <v>116</v>
      </c>
      <c r="O50" s="1644"/>
      <c r="P50" s="245" t="b">
        <f t="shared" si="3"/>
        <v>0</v>
      </c>
      <c r="R50" s="245" t="b">
        <f t="shared" si="1"/>
        <v>0</v>
      </c>
      <c r="AO50" s="238" t="str">
        <f t="shared" si="2"/>
        <v>SG28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167</v>
      </c>
      <c r="D51" s="1511" t="s">
        <v>145</v>
      </c>
      <c r="E51" s="1512"/>
      <c r="F51" s="1513">
        <v>1362</v>
      </c>
      <c r="G51" s="1514">
        <v>30</v>
      </c>
      <c r="H51" s="1515">
        <v>11.375</v>
      </c>
      <c r="I51" s="1513"/>
      <c r="J51" s="1514"/>
      <c r="K51" s="1515"/>
      <c r="L51" s="1516" t="s">
        <v>703</v>
      </c>
      <c r="M51" s="1516" t="s">
        <v>1397</v>
      </c>
      <c r="N51" s="1689" t="s">
        <v>116</v>
      </c>
      <c r="O51" s="1644"/>
      <c r="P51" s="245" t="b">
        <f t="shared" si="3"/>
        <v>0</v>
      </c>
      <c r="R51" s="245" t="b">
        <f t="shared" si="1"/>
        <v>0</v>
      </c>
      <c r="AO51" s="238" t="str">
        <f t="shared" si="2"/>
        <v>SG28</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167</v>
      </c>
      <c r="D52" s="1511" t="s">
        <v>145</v>
      </c>
      <c r="E52" s="1512"/>
      <c r="F52" s="1513">
        <v>1362</v>
      </c>
      <c r="G52" s="1514">
        <v>37</v>
      </c>
      <c r="H52" s="1515">
        <v>2.1249999999999991</v>
      </c>
      <c r="I52" s="1513"/>
      <c r="J52" s="1514"/>
      <c r="K52" s="1515"/>
      <c r="L52" s="1516" t="s">
        <v>703</v>
      </c>
      <c r="M52" s="1516" t="s">
        <v>1397</v>
      </c>
      <c r="N52" s="1689" t="s">
        <v>116</v>
      </c>
      <c r="O52" s="1644"/>
      <c r="P52" s="245" t="b">
        <f t="shared" si="3"/>
        <v>0</v>
      </c>
      <c r="R52" s="245" t="b">
        <f t="shared" si="1"/>
        <v>0</v>
      </c>
      <c r="AO52" s="238" t="str">
        <f t="shared" si="2"/>
        <v>SG28</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167</v>
      </c>
      <c r="D53" s="1511" t="s">
        <v>145</v>
      </c>
      <c r="E53" s="1512"/>
      <c r="F53" s="1513">
        <v>1362</v>
      </c>
      <c r="G53" s="1514">
        <v>43</v>
      </c>
      <c r="H53" s="1515">
        <v>4.875</v>
      </c>
      <c r="I53" s="1513"/>
      <c r="J53" s="1514"/>
      <c r="K53" s="1515"/>
      <c r="L53" s="1516" t="s">
        <v>703</v>
      </c>
      <c r="M53" s="1516" t="s">
        <v>1397</v>
      </c>
      <c r="N53" s="1689" t="s">
        <v>116</v>
      </c>
      <c r="O53" s="1644"/>
      <c r="P53" s="245" t="b">
        <f t="shared" si="3"/>
        <v>0</v>
      </c>
      <c r="R53" s="245" t="b">
        <f t="shared" si="1"/>
        <v>0</v>
      </c>
      <c r="AO53" s="238" t="str">
        <f t="shared" si="2"/>
        <v>SG28</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167</v>
      </c>
      <c r="D54" s="1511" t="s">
        <v>145</v>
      </c>
      <c r="E54" s="1512"/>
      <c r="F54" s="1513">
        <v>1362</v>
      </c>
      <c r="G54" s="1514">
        <v>49</v>
      </c>
      <c r="H54" s="1515">
        <v>7.6250000000000009</v>
      </c>
      <c r="I54" s="1513"/>
      <c r="J54" s="1514"/>
      <c r="K54" s="1515"/>
      <c r="L54" s="1516" t="s">
        <v>703</v>
      </c>
      <c r="M54" s="1516" t="s">
        <v>1397</v>
      </c>
      <c r="N54" s="1689" t="s">
        <v>116</v>
      </c>
      <c r="O54" s="1644"/>
      <c r="P54" s="245" t="b">
        <f t="shared" si="3"/>
        <v>0</v>
      </c>
      <c r="R54" s="245" t="b">
        <f t="shared" si="1"/>
        <v>0</v>
      </c>
      <c r="AO54" s="238" t="str">
        <f t="shared" si="2"/>
        <v>SG28</v>
      </c>
      <c r="AP54" s="945" t="b">
        <v>0</v>
      </c>
      <c r="AQ54" s="1322"/>
      <c r="AR54" s="1323"/>
      <c r="AS54" s="1323"/>
      <c r="AT54" s="1323"/>
      <c r="AU54" s="1323"/>
      <c r="AV54" s="1323"/>
      <c r="AW54" s="1323"/>
      <c r="AX54" s="1323"/>
      <c r="AY54" s="1323"/>
      <c r="AZ54" s="1323"/>
      <c r="BA54" s="1532"/>
      <c r="BB54" s="1532"/>
      <c r="BC54" s="1533"/>
    </row>
    <row r="55" spans="1:55" ht="14.1" customHeight="1" x14ac:dyDescent="0.2">
      <c r="A55" s="1519" t="s">
        <v>1904</v>
      </c>
      <c r="B55" s="1520" t="s">
        <v>154</v>
      </c>
      <c r="C55" s="1520" t="s">
        <v>165</v>
      </c>
      <c r="D55" s="1520" t="s">
        <v>145</v>
      </c>
      <c r="E55" s="1521"/>
      <c r="F55" s="1522">
        <v>1320</v>
      </c>
      <c r="G55" s="1523"/>
      <c r="H55" s="1524"/>
      <c r="I55" s="1522"/>
      <c r="J55" s="1523"/>
      <c r="K55" s="1524"/>
      <c r="L55" s="1525" t="s">
        <v>116</v>
      </c>
      <c r="M55" s="1525" t="s">
        <v>1397</v>
      </c>
      <c r="N55" s="1690"/>
      <c r="O55" s="1644"/>
      <c r="P55" s="245" t="b">
        <f t="shared" si="3"/>
        <v>0</v>
      </c>
      <c r="R55" s="245" t="b">
        <f t="shared" si="1"/>
        <v>1</v>
      </c>
      <c r="AO55" s="238" t="str">
        <f t="shared" si="2"/>
        <v>SG29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9" priority="4" stopIfTrue="1">
      <formula>AND($B14="NU",F14&lt;0)</formula>
    </cfRule>
  </conditionalFormatting>
  <conditionalFormatting sqref="B14:B55">
    <cfRule type="expression" dxfId="18" priority="5" stopIfTrue="1">
      <formula>OR(AND($B14="NU",F14&lt;0),AND($B14="NU",I14&lt;0))</formula>
    </cfRule>
  </conditionalFormatting>
  <conditionalFormatting sqref="G14:H55 J14:L55">
    <cfRule type="expression" dxfId="17" priority="6" stopIfTrue="1">
      <formula>$R14</formula>
    </cfRule>
  </conditionalFormatting>
  <conditionalFormatting sqref="I2:K4">
    <cfRule type="cellIs" dxfId="16" priority="7" stopIfTrue="1" operator="equal">
      <formula>""</formula>
    </cfRule>
  </conditionalFormatting>
  <conditionalFormatting sqref="I14:I55">
    <cfRule type="expression" dxfId="15" priority="8" stopIfTrue="1">
      <formula>OR($R14,$B14="CZ",AND($B14="NU",I14&lt;0))</formula>
    </cfRule>
  </conditionalFormatting>
  <conditionalFormatting sqref="A14:A55">
    <cfRule type="expression" dxfId="14" priority="3">
      <formula>NOT($P14)</formula>
    </cfRule>
  </conditionalFormatting>
  <conditionalFormatting sqref="B14:D55">
    <cfRule type="expression" dxfId="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 priority="9">
      <formula>AND(NOT($P14),$T$1)</formula>
    </cfRule>
    <cfRule type="expression" dxfId="11" priority="10">
      <formula>AND($AP14,$S$1="M")</formula>
    </cfRule>
  </conditionalFormatting>
  <conditionalFormatting sqref="L14:L55">
    <cfRule type="expression" dxfId="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4D8B571-A06D-4F19-B3FB-22528DD0BA7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86547FEF-0038-4537-AC39-70DA631B8DA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4D05C7FE-7BC1-4033-ABB2-4E2CDD785DF5}">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97F7017-DB29-4799-BCAB-EBEB30000961}">
      <formula1>IF($CA$14,$CA$16:$CA$21,$CB$16:$CB$19)</formula1>
    </dataValidation>
    <dataValidation type="list" allowBlank="1" showErrorMessage="1" errorTitle="Invalid Type" error="You MUST select a Type from the dropdown list provided._x000a__x000a_Also, make sure your Cap Lock is turned on." sqref="B14:B55" xr:uid="{29632AC2-EEE4-44A3-BC9C-B41BD965DA02}">
      <formula1>$BF$15:$BU$15</formula1>
    </dataValidation>
    <dataValidation allowBlank="1" showInputMessage="1" errorTitle="Invalid Load Case" error="You MUST use a Load Case from the list provided." sqref="M14:M55" xr:uid="{D4A934AA-D1DA-46EB-AAD4-E194A7F6E56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E3FB-1F04-447E-B592-0C5E189A57C9}">
  <sheetPr codeName="Sheet55">
    <tabColor indexed="45"/>
  </sheetPr>
  <dimension ref="A1:CE65"/>
  <sheetViews>
    <sheetView showGridLines="0" tabSelected="1"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153</v>
      </c>
      <c r="C14" s="1504" t="s">
        <v>165</v>
      </c>
      <c r="D14" s="1504" t="s">
        <v>145</v>
      </c>
      <c r="E14" s="1687"/>
      <c r="F14" s="1505">
        <v>18300</v>
      </c>
      <c r="G14" s="1506">
        <v>54</v>
      </c>
      <c r="H14" s="1507">
        <v>8</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7503</v>
      </c>
      <c r="G15" s="1514">
        <v>6</v>
      </c>
      <c r="H15" s="1515">
        <v>0.375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7503</v>
      </c>
      <c r="G16" s="1514">
        <v>12</v>
      </c>
      <c r="H16" s="1515">
        <v>3.125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7503</v>
      </c>
      <c r="G17" s="1514">
        <v>18</v>
      </c>
      <c r="H17" s="1515">
        <v>5.875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7503</v>
      </c>
      <c r="G18" s="1514">
        <v>24</v>
      </c>
      <c r="H18" s="1515">
        <v>8.625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7503</v>
      </c>
      <c r="G19" s="1514">
        <v>30</v>
      </c>
      <c r="H19" s="1515">
        <v>11.375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7503</v>
      </c>
      <c r="G20" s="1514">
        <v>37</v>
      </c>
      <c r="H20" s="1515">
        <v>2.1249999999999991</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7503</v>
      </c>
      <c r="G21" s="1514">
        <v>43</v>
      </c>
      <c r="H21" s="1515">
        <v>4.875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7503</v>
      </c>
      <c r="G22" s="1514">
        <v>49</v>
      </c>
      <c r="H22" s="1515">
        <v>7.6250000000000009</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167</v>
      </c>
      <c r="D23" s="1511" t="s">
        <v>145</v>
      </c>
      <c r="E23" s="1512"/>
      <c r="F23" s="1513">
        <v>1362</v>
      </c>
      <c r="G23" s="1514">
        <v>6</v>
      </c>
      <c r="H23" s="1515">
        <v>0.375</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167</v>
      </c>
      <c r="D24" s="1511" t="s">
        <v>145</v>
      </c>
      <c r="E24" s="1512"/>
      <c r="F24" s="1513">
        <v>1362</v>
      </c>
      <c r="G24" s="1514">
        <v>12</v>
      </c>
      <c r="H24" s="1515">
        <v>3.125</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167</v>
      </c>
      <c r="D25" s="1511" t="s">
        <v>145</v>
      </c>
      <c r="E25" s="1512"/>
      <c r="F25" s="1513">
        <v>1362</v>
      </c>
      <c r="G25" s="1514">
        <v>18</v>
      </c>
      <c r="H25" s="1515">
        <v>5.875</v>
      </c>
      <c r="I25" s="1513"/>
      <c r="J25" s="1514"/>
      <c r="K25" s="1515"/>
      <c r="L25" s="1516" t="s">
        <v>703</v>
      </c>
      <c r="M25" s="1517" t="s">
        <v>1397</v>
      </c>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167</v>
      </c>
      <c r="D26" s="1511" t="s">
        <v>145</v>
      </c>
      <c r="E26" s="1512"/>
      <c r="F26" s="1513">
        <v>1362</v>
      </c>
      <c r="G26" s="1514">
        <v>24</v>
      </c>
      <c r="H26" s="1515">
        <v>8.625</v>
      </c>
      <c r="I26" s="1513"/>
      <c r="J26" s="1514"/>
      <c r="K26" s="1515"/>
      <c r="L26" s="1516" t="s">
        <v>703</v>
      </c>
      <c r="M26" s="1517" t="s">
        <v>1397</v>
      </c>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167</v>
      </c>
      <c r="D27" s="1511" t="s">
        <v>145</v>
      </c>
      <c r="E27" s="1512"/>
      <c r="F27" s="1513">
        <v>1362</v>
      </c>
      <c r="G27" s="1514">
        <v>30</v>
      </c>
      <c r="H27" s="1515">
        <v>11.375</v>
      </c>
      <c r="I27" s="1513"/>
      <c r="J27" s="1514"/>
      <c r="K27" s="1515"/>
      <c r="L27" s="1516" t="s">
        <v>703</v>
      </c>
      <c r="M27" s="1517" t="s">
        <v>1397</v>
      </c>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1362</v>
      </c>
      <c r="G28" s="1514">
        <v>37</v>
      </c>
      <c r="H28" s="1515">
        <v>2.1249999999999991</v>
      </c>
      <c r="I28" s="1513"/>
      <c r="J28" s="1514"/>
      <c r="K28" s="1515"/>
      <c r="L28" s="1516" t="s">
        <v>703</v>
      </c>
      <c r="M28" s="1517" t="s">
        <v>1397</v>
      </c>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167</v>
      </c>
      <c r="D29" s="1511" t="s">
        <v>145</v>
      </c>
      <c r="E29" s="1512"/>
      <c r="F29" s="1513">
        <v>1362</v>
      </c>
      <c r="G29" s="1514">
        <v>43</v>
      </c>
      <c r="H29" s="1515">
        <v>4.875</v>
      </c>
      <c r="I29" s="1513"/>
      <c r="J29" s="1514"/>
      <c r="K29" s="1515"/>
      <c r="L29" s="1516" t="s">
        <v>703</v>
      </c>
      <c r="M29" s="1517" t="s">
        <v>1397</v>
      </c>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1362</v>
      </c>
      <c r="G30" s="1514">
        <v>49</v>
      </c>
      <c r="H30" s="1515">
        <v>7.6250000000000009</v>
      </c>
      <c r="I30" s="1513"/>
      <c r="J30" s="1514"/>
      <c r="K30" s="1515"/>
      <c r="L30" s="1516" t="s">
        <v>703</v>
      </c>
      <c r="M30" s="1517" t="s">
        <v>1397</v>
      </c>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 priority="4" stopIfTrue="1">
      <formula>AND($B14="NU",F14&lt;0)</formula>
    </cfRule>
  </conditionalFormatting>
  <conditionalFormatting sqref="B14:B55">
    <cfRule type="expression" dxfId="8" priority="5" stopIfTrue="1">
      <formula>OR(AND($B14="NU",F14&lt;0),AND($B14="NU",I14&lt;0))</formula>
    </cfRule>
  </conditionalFormatting>
  <conditionalFormatting sqref="G14:H55 J14:L55">
    <cfRule type="expression" dxfId="7" priority="6" stopIfTrue="1">
      <formula>$R14</formula>
    </cfRule>
  </conditionalFormatting>
  <conditionalFormatting sqref="I2:K4">
    <cfRule type="cellIs" dxfId="6" priority="7" stopIfTrue="1" operator="equal">
      <formula>""</formula>
    </cfRule>
  </conditionalFormatting>
  <conditionalFormatting sqref="I14:I55">
    <cfRule type="expression" dxfId="5" priority="8" stopIfTrue="1">
      <formula>OR($R14,$B14="CZ",AND($B14="NU",I14&lt;0))</formula>
    </cfRule>
  </conditionalFormatting>
  <conditionalFormatting sqref="A14:A55">
    <cfRule type="expression" dxfId="4" priority="3">
      <formula>NOT($P14)</formula>
    </cfRule>
  </conditionalFormatting>
  <conditionalFormatting sqref="B14:D55">
    <cfRule type="expression" dxfId="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 priority="9">
      <formula>AND(NOT($P14),$T$1)</formula>
    </cfRule>
    <cfRule type="expression" dxfId="1" priority="10">
      <formula>AND($AP14,$S$1="M")</formula>
    </cfRule>
  </conditionalFormatting>
  <conditionalFormatting sqref="L14:L55">
    <cfRule type="expression" dxfId="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5DDC35A-B4B4-4243-A4D7-DDB22AD4EA9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982B067-4F71-4046-8518-C262A235C12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FDB4BD8A-191B-4326-BFCD-8F5B3893570D}">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23B262C-0D29-40D5-B367-22C4413A0CDF}">
      <formula1>IF($CA$14,$CA$16:$CA$21,$CB$16:$CB$19)</formula1>
    </dataValidation>
    <dataValidation type="list" allowBlank="1" showErrorMessage="1" errorTitle="Invalid Type" error="You MUST select a Type from the dropdown list provided._x000a__x000a_Also, make sure your Cap Lock is turned on." sqref="B14:B55" xr:uid="{4AF2A33E-D4BB-48A5-B1D6-AAE57E2B04B2}">
      <formula1>$BF$15:$BU$15</formula1>
    </dataValidation>
    <dataValidation allowBlank="1" showInputMessage="1" errorTitle="Invalid Load Case" error="You MUST use a Load Case from the list provided." sqref="M14:M55" xr:uid="{3A7056EC-1FED-4C82-8BEF-A697E6F3727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t="s">
        <v>1392</v>
      </c>
      <c r="B13" s="1079"/>
      <c r="C13" s="1057"/>
      <c r="D13" s="1080"/>
      <c r="E13" s="1875" t="s">
        <v>1393</v>
      </c>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1072" t="s">
        <v>1394</v>
      </c>
      <c r="B14" s="1074"/>
      <c r="C14" s="652"/>
      <c r="D14" s="1075"/>
      <c r="E14" s="1867" t="s">
        <v>1395</v>
      </c>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1072" t="s">
        <v>808</v>
      </c>
      <c r="B15" s="1074"/>
      <c r="C15" s="652"/>
      <c r="D15" s="1075"/>
      <c r="E15" s="1867" t="s">
        <v>1396</v>
      </c>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1072" t="s">
        <v>1397</v>
      </c>
      <c r="B16" s="1074"/>
      <c r="C16" s="652"/>
      <c r="D16" s="1075"/>
      <c r="E16" s="1867" t="s">
        <v>1398</v>
      </c>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y9OuGuPvUpkypdSDX/a6lcuqOh40oIOPM3EztC3Kro6rSxLA80MP3sp0oGi/uLKVO8PslwatOrLJMSAvSH194g==" saltValue="qlIs84JdeOuvQ04khUKRIQ=="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767" priority="1" stopIfTrue="1" operator="equal">
      <formula>""</formula>
    </cfRule>
  </conditionalFormatting>
  <conditionalFormatting sqref="E13:N49">
    <cfRule type="expression" dxfId="76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1399</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1400</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1402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2" t="s">
        <v>1403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2" t="s">
        <v>1404</v>
      </c>
      <c r="B18" s="1493" t="s">
        <v>1401</v>
      </c>
      <c r="C18" s="1494" t="s">
        <v>1401</v>
      </c>
      <c r="D18" s="1494" t="s">
        <v>1401</v>
      </c>
      <c r="E18" s="1494">
        <v>1</v>
      </c>
      <c r="F18" s="1494"/>
      <c r="G18" s="1494"/>
      <c r="H18" s="1494"/>
      <c r="I18" s="1494"/>
      <c r="J18" s="1494"/>
      <c r="K18" s="1494"/>
      <c r="L18" s="1494"/>
      <c r="M18" s="1494"/>
      <c r="N18" s="1494"/>
      <c r="O18" s="1495"/>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2" t="s">
        <v>1405</v>
      </c>
      <c r="B19" s="1493" t="s">
        <v>1401</v>
      </c>
      <c r="C19" s="1494" t="s">
        <v>1401</v>
      </c>
      <c r="D19" s="1494">
        <v>1</v>
      </c>
      <c r="E19" s="1494" t="s">
        <v>1401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2" t="s">
        <v>1406</v>
      </c>
      <c r="B20" s="1493" t="s">
        <v>1401</v>
      </c>
      <c r="C20" s="1494" t="s">
        <v>1401</v>
      </c>
      <c r="D20" s="1494">
        <v>1</v>
      </c>
      <c r="E20" s="1494" t="s">
        <v>1401</v>
      </c>
      <c r="F20" s="1494"/>
      <c r="G20" s="1494"/>
      <c r="H20" s="1494"/>
      <c r="I20" s="1494"/>
      <c r="J20" s="1494"/>
      <c r="K20" s="1494"/>
      <c r="L20" s="1494"/>
      <c r="M20" s="1494"/>
      <c r="N20" s="1494"/>
      <c r="O20" s="1495"/>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2" t="s">
        <v>1407</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2" t="s">
        <v>1408</v>
      </c>
      <c r="B22" s="1493" t="s">
        <v>1401</v>
      </c>
      <c r="C22" s="1494">
        <v>2</v>
      </c>
      <c r="D22" s="1494">
        <v>1</v>
      </c>
      <c r="E22" s="1494">
        <v>2</v>
      </c>
      <c r="F22" s="1494"/>
      <c r="G22" s="1494"/>
      <c r="H22" s="1494"/>
      <c r="I22" s="1494"/>
      <c r="J22" s="1494"/>
      <c r="K22" s="1494"/>
      <c r="L22" s="1494"/>
      <c r="M22" s="1494"/>
      <c r="N22" s="1494"/>
      <c r="O22" s="1495"/>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2" t="s">
        <v>1409</v>
      </c>
      <c r="B23" s="1493" t="s">
        <v>1401</v>
      </c>
      <c r="C23" s="1494" t="s">
        <v>1401</v>
      </c>
      <c r="D23" s="1494" t="s">
        <v>1401</v>
      </c>
      <c r="E23" s="1494">
        <v>1</v>
      </c>
      <c r="F23" s="1494"/>
      <c r="G23" s="1494"/>
      <c r="H23" s="1494"/>
      <c r="I23" s="1494"/>
      <c r="J23" s="1494"/>
      <c r="K23" s="1494"/>
      <c r="L23" s="1494"/>
      <c r="M23" s="1494"/>
      <c r="N23" s="1494"/>
      <c r="O23" s="1495"/>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2" t="s">
        <v>1410</v>
      </c>
      <c r="B24" s="1493" t="s">
        <v>1401</v>
      </c>
      <c r="C24" s="1494" t="s">
        <v>1401</v>
      </c>
      <c r="D24" s="1494">
        <v>1</v>
      </c>
      <c r="E24" s="1494" t="s">
        <v>1401</v>
      </c>
      <c r="F24" s="1494"/>
      <c r="G24" s="1494"/>
      <c r="H24" s="1494"/>
      <c r="I24" s="1494"/>
      <c r="J24" s="1494"/>
      <c r="K24" s="1494"/>
      <c r="L24" s="1494"/>
      <c r="M24" s="1494"/>
      <c r="N24" s="1494"/>
      <c r="O24" s="149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2" t="s">
        <v>1411</v>
      </c>
      <c r="B25" s="1493" t="s">
        <v>1401</v>
      </c>
      <c r="C25" s="1494" t="s">
        <v>1401</v>
      </c>
      <c r="D25" s="1494">
        <v>1</v>
      </c>
      <c r="E25" s="1494" t="s">
        <v>1401</v>
      </c>
      <c r="F25" s="1494"/>
      <c r="G25" s="1494"/>
      <c r="H25" s="1494"/>
      <c r="I25" s="1494"/>
      <c r="J25" s="1494"/>
      <c r="K25" s="1494"/>
      <c r="L25" s="1494"/>
      <c r="M25" s="1494"/>
      <c r="N25" s="1494"/>
      <c r="O25" s="1495"/>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492" t="s">
        <v>1412</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2" t="s">
        <v>1413</v>
      </c>
      <c r="B27" s="1493" t="s">
        <v>1401</v>
      </c>
      <c r="C27" s="1494">
        <v>2</v>
      </c>
      <c r="D27" s="1494">
        <v>1</v>
      </c>
      <c r="E27" s="1494">
        <v>2</v>
      </c>
      <c r="F27" s="1494"/>
      <c r="G27" s="1494"/>
      <c r="H27" s="1494"/>
      <c r="I27" s="1494"/>
      <c r="J27" s="1494"/>
      <c r="K27" s="1494"/>
      <c r="L27" s="1494"/>
      <c r="M27" s="1494"/>
      <c r="N27" s="1494"/>
      <c r="O27" s="1495"/>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2" t="s">
        <v>1414</v>
      </c>
      <c r="B28" s="1493" t="s">
        <v>1401</v>
      </c>
      <c r="C28" s="1494" t="s">
        <v>1401</v>
      </c>
      <c r="D28" s="1494">
        <v>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2" t="s">
        <v>1415</v>
      </c>
      <c r="B29" s="1493" t="s">
        <v>1401</v>
      </c>
      <c r="C29" s="1494" t="s">
        <v>1401</v>
      </c>
      <c r="D29" s="1494">
        <v>1</v>
      </c>
      <c r="E29" s="1494" t="s">
        <v>1401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2" t="s">
        <v>1416</v>
      </c>
      <c r="B30" s="1493" t="s">
        <v>1401</v>
      </c>
      <c r="C30" s="1494" t="s">
        <v>1401</v>
      </c>
      <c r="D30" s="1494">
        <v>1</v>
      </c>
      <c r="E30" s="1494" t="s">
        <v>1401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2" t="s">
        <v>1417</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2" t="s">
        <v>1418</v>
      </c>
      <c r="B32" s="1493" t="s">
        <v>1401</v>
      </c>
      <c r="C32" s="1494">
        <v>1</v>
      </c>
      <c r="D32" s="1494">
        <v>1</v>
      </c>
      <c r="E32" s="1494">
        <v>1</v>
      </c>
      <c r="F32" s="1494"/>
      <c r="G32" s="1494"/>
      <c r="H32" s="1494"/>
      <c r="I32" s="1494"/>
      <c r="J32" s="1494"/>
      <c r="K32" s="1494"/>
      <c r="L32" s="1494"/>
      <c r="M32" s="1494"/>
      <c r="N32" s="1494"/>
      <c r="O32" s="1495"/>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2" t="s">
        <v>1419</v>
      </c>
      <c r="B33" s="1493" t="s">
        <v>1401</v>
      </c>
      <c r="C33" s="1494">
        <v>1</v>
      </c>
      <c r="D33" s="1494" t="s">
        <v>1401</v>
      </c>
      <c r="E33" s="1494">
        <v>1</v>
      </c>
      <c r="F33" s="1494"/>
      <c r="G33" s="1494"/>
      <c r="H33" s="1494"/>
      <c r="I33" s="1494"/>
      <c r="J33" s="1494"/>
      <c r="K33" s="1494"/>
      <c r="L33" s="1494"/>
      <c r="M33" s="1494"/>
      <c r="N33" s="1494"/>
      <c r="O33" s="1495"/>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2" t="s">
        <v>1420</v>
      </c>
      <c r="B34" s="1493" t="s">
        <v>1401</v>
      </c>
      <c r="C34" s="1494" t="s">
        <v>1401</v>
      </c>
      <c r="D34" s="1494">
        <v>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492" t="s">
        <v>1421</v>
      </c>
      <c r="B35" s="1493" t="s">
        <v>1401</v>
      </c>
      <c r="C35" s="1494" t="s">
        <v>1401</v>
      </c>
      <c r="D35" s="1494">
        <v>1</v>
      </c>
      <c r="E35" s="1494" t="s">
        <v>1401</v>
      </c>
      <c r="F35" s="1494"/>
      <c r="G35" s="1494"/>
      <c r="H35" s="1494"/>
      <c r="I35" s="1494"/>
      <c r="J35" s="1494"/>
      <c r="K35" s="1494"/>
      <c r="L35" s="1494"/>
      <c r="M35" s="1494"/>
      <c r="N35" s="1494"/>
      <c r="O35" s="1495"/>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492" t="s">
        <v>1422</v>
      </c>
      <c r="B36" s="1493" t="s">
        <v>1401</v>
      </c>
      <c r="C36" s="1494" t="s">
        <v>1401</v>
      </c>
      <c r="D36" s="1494">
        <v>1</v>
      </c>
      <c r="E36" s="1494" t="s">
        <v>1401</v>
      </c>
      <c r="F36" s="1494"/>
      <c r="G36" s="1494"/>
      <c r="H36" s="1494"/>
      <c r="I36" s="1494"/>
      <c r="J36" s="1494"/>
      <c r="K36" s="1494"/>
      <c r="L36" s="1494"/>
      <c r="M36" s="1494"/>
      <c r="N36" s="1494"/>
      <c r="O36" s="1495"/>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492" t="s">
        <v>1423</v>
      </c>
      <c r="B37" s="1493" t="s">
        <v>1401</v>
      </c>
      <c r="C37" s="1494" t="s">
        <v>1401</v>
      </c>
      <c r="D37" s="1494">
        <v>1</v>
      </c>
      <c r="E37" s="1494" t="s">
        <v>1401</v>
      </c>
      <c r="F37" s="1494"/>
      <c r="G37" s="1494"/>
      <c r="H37" s="1494"/>
      <c r="I37" s="1494"/>
      <c r="J37" s="1494"/>
      <c r="K37" s="1494"/>
      <c r="L37" s="1494"/>
      <c r="M37" s="1494"/>
      <c r="N37" s="1494"/>
      <c r="O37" s="1495"/>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492" t="s">
        <v>1424</v>
      </c>
      <c r="B38" s="1493" t="s">
        <v>1401</v>
      </c>
      <c r="C38" s="1494">
        <v>1</v>
      </c>
      <c r="D38" s="1494" t="s">
        <v>1401</v>
      </c>
      <c r="E38" s="1494" t="s">
        <v>1401</v>
      </c>
      <c r="F38" s="1494"/>
      <c r="G38" s="1494"/>
      <c r="H38" s="1494"/>
      <c r="I38" s="1494"/>
      <c r="J38" s="1494"/>
      <c r="K38" s="1494"/>
      <c r="L38" s="1494"/>
      <c r="M38" s="1494"/>
      <c r="N38" s="1494"/>
      <c r="O38" s="1495"/>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492" t="s">
        <v>1425</v>
      </c>
      <c r="B39" s="1493" t="s">
        <v>1401</v>
      </c>
      <c r="C39" s="1494" t="s">
        <v>1401</v>
      </c>
      <c r="D39" s="1494">
        <v>1</v>
      </c>
      <c r="E39" s="1494" t="s">
        <v>1401</v>
      </c>
      <c r="F39" s="1494"/>
      <c r="G39" s="1494"/>
      <c r="H39" s="1494"/>
      <c r="I39" s="1494"/>
      <c r="J39" s="1494"/>
      <c r="K39" s="1494"/>
      <c r="L39" s="1494"/>
      <c r="M39" s="1494"/>
      <c r="N39" s="1494"/>
      <c r="O39" s="1495"/>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492" t="s">
        <v>1426</v>
      </c>
      <c r="B40" s="1493" t="s">
        <v>1401</v>
      </c>
      <c r="C40" s="1494">
        <v>1</v>
      </c>
      <c r="D40" s="1494" t="s">
        <v>1401</v>
      </c>
      <c r="E40" s="1494" t="s">
        <v>1401</v>
      </c>
      <c r="F40" s="1494"/>
      <c r="G40" s="1494"/>
      <c r="H40" s="1494"/>
      <c r="I40" s="1494"/>
      <c r="J40" s="1494"/>
      <c r="K40" s="1494"/>
      <c r="L40" s="1494"/>
      <c r="M40" s="1494"/>
      <c r="N40" s="1494"/>
      <c r="O40" s="1495"/>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492" t="s">
        <v>1427</v>
      </c>
      <c r="B41" s="1493" t="s">
        <v>1401</v>
      </c>
      <c r="C41" s="1494">
        <v>1</v>
      </c>
      <c r="D41" s="1494" t="s">
        <v>1401</v>
      </c>
      <c r="E41" s="1494" t="s">
        <v>1401</v>
      </c>
      <c r="F41" s="1494"/>
      <c r="G41" s="1494"/>
      <c r="H41" s="1494"/>
      <c r="I41" s="1494"/>
      <c r="J41" s="1494"/>
      <c r="K41" s="1494"/>
      <c r="L41" s="1494"/>
      <c r="M41" s="1494"/>
      <c r="N41" s="1494"/>
      <c r="O41" s="1495"/>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492" t="s">
        <v>1428</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492" t="s">
        <v>1429</v>
      </c>
      <c r="B43" s="1493" t="s">
        <v>1401</v>
      </c>
      <c r="C43" s="1494">
        <v>1</v>
      </c>
      <c r="D43" s="1494" t="s">
        <v>1401</v>
      </c>
      <c r="E43" s="1494" t="s">
        <v>1401</v>
      </c>
      <c r="F43" s="1494"/>
      <c r="G43" s="1494"/>
      <c r="H43" s="1494"/>
      <c r="I43" s="1494"/>
      <c r="J43" s="1494"/>
      <c r="K43" s="1494"/>
      <c r="L43" s="1494"/>
      <c r="M43" s="1494"/>
      <c r="N43" s="1494"/>
      <c r="O43" s="1495"/>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v198mAWsaQ73Ma50oT7pVgrA+KaM1h6bH3Oy5XYb2KrG0v7DPwOU5Z4VQgN+05T6IaPGE0cnIP3yDFDNmGbB/g==" saltValue="c03xuViRD8TR7B5cnLAUw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65" priority="2">
      <formula>OR(A14="Girder",A14="Girders",A14="Joist",A14="Joists",A14="Bridging")</formula>
    </cfRule>
    <cfRule type="expression" dxfId="764" priority="3">
      <formula>AND(P14&gt;0,ISBLANK(AF14),OR($R$1="",$R$1="M"))</formula>
    </cfRule>
    <cfRule type="expression" dxfId="763" priority="9">
      <formula>$AH14</formula>
    </cfRule>
  </conditionalFormatting>
  <conditionalFormatting sqref="H2:J4">
    <cfRule type="cellIs" dxfId="762" priority="7" stopIfTrue="1" operator="equal">
      <formula>""</formula>
    </cfRule>
  </conditionalFormatting>
  <conditionalFormatting sqref="B14:O49">
    <cfRule type="expression" dxfId="761" priority="4">
      <formula>IF($R$1="M",AND(B14&gt;R14,R14&gt;0),B14&lt;R14)</formula>
    </cfRule>
    <cfRule type="expression" dxfId="760" priority="5">
      <formula>OR(AND($R$1="M",NOT($S$1),B14=R14),B14="-")</formula>
    </cfRule>
    <cfRule type="expression" dxfId="759" priority="6">
      <formula>IF(NOT(ISBLANK($R$1)),IF($R$1="M",IF(ISTEXT(B14),0,B14)&lt;R14,IF(ISTEXT(B14),0,B14)&gt;R14))</formula>
    </cfRule>
    <cfRule type="expression" dxfId="758" priority="8">
      <formula>OR($AH14,B$63)</formula>
    </cfRule>
  </conditionalFormatting>
  <conditionalFormatting sqref="B13:O13">
    <cfRule type="expression" dxfId="757" priority="1">
      <formula>AND(NOT(ISBLANK(B$13)),ISERROR(MATCH(B$13,$AK:$AK,0)))</formula>
    </cfRule>
    <cfRule type="expression" dxfId="7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1431</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1432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1433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1434</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1435</v>
      </c>
      <c r="B19" s="1493" t="s">
        <v>1401</v>
      </c>
      <c r="C19" s="1494" t="s">
        <v>1401</v>
      </c>
      <c r="D19" s="1494" t="s">
        <v>1401</v>
      </c>
      <c r="E19" s="1494">
        <v>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1436</v>
      </c>
      <c r="B20" s="1493" t="s">
        <v>1401</v>
      </c>
      <c r="C20" s="1494">
        <v>2</v>
      </c>
      <c r="D20" s="1494">
        <v>8</v>
      </c>
      <c r="E20" s="1494">
        <v>1</v>
      </c>
      <c r="F20" s="1494"/>
      <c r="G20" s="1494"/>
      <c r="H20" s="1494"/>
      <c r="I20" s="1494"/>
      <c r="J20" s="1494"/>
      <c r="K20" s="1494"/>
      <c r="L20" s="1494"/>
      <c r="M20" s="1494"/>
      <c r="N20" s="1494"/>
      <c r="O20" s="1495"/>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1437</v>
      </c>
      <c r="B21" s="1493" t="s">
        <v>1401</v>
      </c>
      <c r="C21" s="1494">
        <v>1</v>
      </c>
      <c r="D21" s="1494">
        <v>11</v>
      </c>
      <c r="E21" s="1494">
        <v>2</v>
      </c>
      <c r="F21" s="1494"/>
      <c r="G21" s="1494"/>
      <c r="H21" s="1494"/>
      <c r="I21" s="1494"/>
      <c r="J21" s="1494"/>
      <c r="K21" s="1494"/>
      <c r="L21" s="1494"/>
      <c r="M21" s="1494"/>
      <c r="N21" s="1494"/>
      <c r="O21" s="1495"/>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1438</v>
      </c>
      <c r="B22" s="1493" t="s">
        <v>1401</v>
      </c>
      <c r="C22" s="1494">
        <v>1</v>
      </c>
      <c r="D22" s="1494" t="s">
        <v>1401</v>
      </c>
      <c r="E22" s="1494">
        <v>1</v>
      </c>
      <c r="F22" s="1494"/>
      <c r="G22" s="1494"/>
      <c r="H22" s="1494"/>
      <c r="I22" s="1494"/>
      <c r="J22" s="1494"/>
      <c r="K22" s="1494"/>
      <c r="L22" s="1494"/>
      <c r="M22" s="1494"/>
      <c r="N22" s="1494"/>
      <c r="O22" s="1495"/>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1439</v>
      </c>
      <c r="B23" s="1493" t="s">
        <v>1401</v>
      </c>
      <c r="C23" s="1494">
        <v>19</v>
      </c>
      <c r="D23" s="1494" t="s">
        <v>1401</v>
      </c>
      <c r="E23" s="1494">
        <v>16</v>
      </c>
      <c r="F23" s="1494"/>
      <c r="G23" s="1494"/>
      <c r="H23" s="1494"/>
      <c r="I23" s="1494"/>
      <c r="J23" s="1494"/>
      <c r="K23" s="1494"/>
      <c r="L23" s="1494"/>
      <c r="M23" s="1494"/>
      <c r="N23" s="1494"/>
      <c r="O23" s="1495"/>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1440</v>
      </c>
      <c r="B24" s="1493" t="s">
        <v>1401</v>
      </c>
      <c r="C24" s="1494">
        <v>3</v>
      </c>
      <c r="D24" s="1494" t="s">
        <v>1401</v>
      </c>
      <c r="E24" s="1494">
        <v>4</v>
      </c>
      <c r="F24" s="1494"/>
      <c r="G24" s="1494"/>
      <c r="H24" s="1494"/>
      <c r="I24" s="1494"/>
      <c r="J24" s="1494"/>
      <c r="K24" s="1494"/>
      <c r="L24" s="1494"/>
      <c r="M24" s="1494"/>
      <c r="N24" s="1494"/>
      <c r="O24" s="1495"/>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1441</v>
      </c>
      <c r="B25" s="1493" t="s">
        <v>1401</v>
      </c>
      <c r="C25" s="1494">
        <v>2</v>
      </c>
      <c r="D25" s="1494" t="s">
        <v>1401</v>
      </c>
      <c r="E25" s="1494">
        <v>2</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1442</v>
      </c>
      <c r="B26" s="1493" t="s">
        <v>1401</v>
      </c>
      <c r="C26" s="1494" t="s">
        <v>1401</v>
      </c>
      <c r="D26" s="1494" t="s">
        <v>1401</v>
      </c>
      <c r="E26" s="1494">
        <v>1</v>
      </c>
      <c r="F26" s="1494"/>
      <c r="G26" s="1494"/>
      <c r="H26" s="1494"/>
      <c r="I26" s="1494"/>
      <c r="J26" s="1494"/>
      <c r="K26" s="1494"/>
      <c r="L26" s="1494"/>
      <c r="M26" s="1494"/>
      <c r="N26" s="1494"/>
      <c r="O26" s="1495"/>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1443</v>
      </c>
      <c r="B27" s="1493" t="s">
        <v>1401</v>
      </c>
      <c r="C27" s="1494" t="s">
        <v>1401</v>
      </c>
      <c r="D27" s="1494" t="s">
        <v>1401</v>
      </c>
      <c r="E27" s="1494">
        <v>1</v>
      </c>
      <c r="F27" s="1494"/>
      <c r="G27" s="1494"/>
      <c r="H27" s="1494"/>
      <c r="I27" s="1494"/>
      <c r="J27" s="1494"/>
      <c r="K27" s="1494"/>
      <c r="L27" s="1494"/>
      <c r="M27" s="1494"/>
      <c r="N27" s="1494"/>
      <c r="O27" s="1495"/>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1444</v>
      </c>
      <c r="B28" s="1493" t="s">
        <v>1401</v>
      </c>
      <c r="C28" s="1494" t="s">
        <v>1401</v>
      </c>
      <c r="D28" s="1494" t="s">
        <v>1401</v>
      </c>
      <c r="E28" s="1494">
        <v>1</v>
      </c>
      <c r="F28" s="1494"/>
      <c r="G28" s="1494"/>
      <c r="H28" s="1494"/>
      <c r="I28" s="1494"/>
      <c r="J28" s="1494"/>
      <c r="K28" s="1494"/>
      <c r="L28" s="1494"/>
      <c r="M28" s="1494"/>
      <c r="N28" s="1494"/>
      <c r="O28" s="1495"/>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1445</v>
      </c>
      <c r="B29" s="1493" t="s">
        <v>1401</v>
      </c>
      <c r="C29" s="1494" t="s">
        <v>1401</v>
      </c>
      <c r="D29" s="1494" t="s">
        <v>1401</v>
      </c>
      <c r="E29" s="1494">
        <v>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1446</v>
      </c>
      <c r="B30" s="1493" t="s">
        <v>1401</v>
      </c>
      <c r="C30" s="1494" t="s">
        <v>1401</v>
      </c>
      <c r="D30" s="1494">
        <v>2</v>
      </c>
      <c r="E30" s="1494" t="s">
        <v>1401</v>
      </c>
      <c r="F30" s="1494"/>
      <c r="G30" s="1494"/>
      <c r="H30" s="1494"/>
      <c r="I30" s="1494"/>
      <c r="J30" s="1494"/>
      <c r="K30" s="1494"/>
      <c r="L30" s="1494"/>
      <c r="M30" s="1494"/>
      <c r="N30" s="1494"/>
      <c r="O30" s="1495"/>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1447</v>
      </c>
      <c r="B31" s="1493" t="s">
        <v>1401</v>
      </c>
      <c r="C31" s="1494" t="s">
        <v>1401</v>
      </c>
      <c r="D31" s="1494">
        <v>1</v>
      </c>
      <c r="E31" s="1494" t="s">
        <v>1401</v>
      </c>
      <c r="F31" s="1494"/>
      <c r="G31" s="1494"/>
      <c r="H31" s="1494"/>
      <c r="I31" s="1494"/>
      <c r="J31" s="1494"/>
      <c r="K31" s="1494"/>
      <c r="L31" s="1494"/>
      <c r="M31" s="1494"/>
      <c r="N31" s="1494"/>
      <c r="O31" s="1495"/>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1448</v>
      </c>
      <c r="B32" s="1493" t="s">
        <v>1401</v>
      </c>
      <c r="C32" s="1494" t="s">
        <v>1401</v>
      </c>
      <c r="D32" s="1494">
        <v>1</v>
      </c>
      <c r="E32" s="1494" t="s">
        <v>1401</v>
      </c>
      <c r="F32" s="1494"/>
      <c r="G32" s="1494"/>
      <c r="H32" s="1494"/>
      <c r="I32" s="1494"/>
      <c r="J32" s="1494"/>
      <c r="K32" s="1494"/>
      <c r="L32" s="1494"/>
      <c r="M32" s="1494"/>
      <c r="N32" s="1494"/>
      <c r="O32" s="1495"/>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1449</v>
      </c>
      <c r="B33" s="1493" t="s">
        <v>1401</v>
      </c>
      <c r="C33" s="1494" t="s">
        <v>1401</v>
      </c>
      <c r="D33" s="1494">
        <v>1</v>
      </c>
      <c r="E33" s="1494" t="s">
        <v>1401</v>
      </c>
      <c r="F33" s="1494"/>
      <c r="G33" s="1494"/>
      <c r="H33" s="1494"/>
      <c r="I33" s="1494"/>
      <c r="J33" s="1494"/>
      <c r="K33" s="1494"/>
      <c r="L33" s="1494"/>
      <c r="M33" s="1494"/>
      <c r="N33" s="1494"/>
      <c r="O33" s="1495"/>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1450</v>
      </c>
      <c r="B34" s="1493" t="s">
        <v>1401</v>
      </c>
      <c r="C34" s="1494">
        <v>1</v>
      </c>
      <c r="D34" s="1494" t="s">
        <v>1401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1451</v>
      </c>
      <c r="B35" s="1493" t="s">
        <v>1401</v>
      </c>
      <c r="C35" s="1494">
        <v>1</v>
      </c>
      <c r="D35" s="1494" t="s">
        <v>1401</v>
      </c>
      <c r="E35" s="1494">
        <v>1</v>
      </c>
      <c r="F35" s="1494"/>
      <c r="G35" s="1494"/>
      <c r="H35" s="1494"/>
      <c r="I35" s="1494"/>
      <c r="J35" s="1494"/>
      <c r="K35" s="1494"/>
      <c r="L35" s="1494"/>
      <c r="M35" s="1494"/>
      <c r="N35" s="1494"/>
      <c r="O35" s="1495"/>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1452</v>
      </c>
      <c r="B36" s="1493" t="s">
        <v>1401</v>
      </c>
      <c r="C36" s="1494">
        <v>1</v>
      </c>
      <c r="D36" s="1494" t="s">
        <v>1401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1453</v>
      </c>
      <c r="B37" s="1493" t="s">
        <v>1401</v>
      </c>
      <c r="C37" s="1494">
        <v>1</v>
      </c>
      <c r="D37" s="1494" t="s">
        <v>1401</v>
      </c>
      <c r="E37" s="1494">
        <v>1</v>
      </c>
      <c r="F37" s="1494"/>
      <c r="G37" s="1494"/>
      <c r="H37" s="1494"/>
      <c r="I37" s="1494"/>
      <c r="J37" s="1494"/>
      <c r="K37" s="1494"/>
      <c r="L37" s="1494"/>
      <c r="M37" s="1494"/>
      <c r="N37" s="1494"/>
      <c r="O37" s="1495"/>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1454</v>
      </c>
      <c r="B38" s="1493" t="s">
        <v>1401</v>
      </c>
      <c r="C38" s="1494">
        <v>1</v>
      </c>
      <c r="D38" s="1494" t="s">
        <v>1401</v>
      </c>
      <c r="E38" s="1494">
        <v>1</v>
      </c>
      <c r="F38" s="1494"/>
      <c r="G38" s="1494"/>
      <c r="H38" s="1494"/>
      <c r="I38" s="1494"/>
      <c r="J38" s="1494"/>
      <c r="K38" s="1494"/>
      <c r="L38" s="1494"/>
      <c r="M38" s="1494"/>
      <c r="N38" s="1494"/>
      <c r="O38" s="1495"/>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1455</v>
      </c>
      <c r="B39" s="1493" t="s">
        <v>1401</v>
      </c>
      <c r="C39" s="1494">
        <v>46</v>
      </c>
      <c r="D39" s="1494">
        <v>46</v>
      </c>
      <c r="E39" s="1494">
        <v>44</v>
      </c>
      <c r="F39" s="1494"/>
      <c r="G39" s="1494"/>
      <c r="H39" s="1494"/>
      <c r="I39" s="1494"/>
      <c r="J39" s="1494"/>
      <c r="K39" s="1494"/>
      <c r="L39" s="1494"/>
      <c r="M39" s="1494"/>
      <c r="N39" s="1494"/>
      <c r="O39" s="1495"/>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1456</v>
      </c>
      <c r="B40" s="1493" t="s">
        <v>1401</v>
      </c>
      <c r="C40" s="1494">
        <v>5</v>
      </c>
      <c r="D40" s="1494">
        <v>5</v>
      </c>
      <c r="E40" s="1494">
        <v>6</v>
      </c>
      <c r="F40" s="1494"/>
      <c r="G40" s="1494"/>
      <c r="H40" s="1494"/>
      <c r="I40" s="1494"/>
      <c r="J40" s="1494"/>
      <c r="K40" s="1494"/>
      <c r="L40" s="1494"/>
      <c r="M40" s="1494"/>
      <c r="N40" s="1494"/>
      <c r="O40" s="1495"/>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1457</v>
      </c>
      <c r="B41" s="1493" t="s">
        <v>1401</v>
      </c>
      <c r="C41" s="1494">
        <v>1</v>
      </c>
      <c r="D41" s="1494">
        <v>1</v>
      </c>
      <c r="E41" s="1494">
        <v>1</v>
      </c>
      <c r="F41" s="1494"/>
      <c r="G41" s="1494"/>
      <c r="H41" s="1494"/>
      <c r="I41" s="1494"/>
      <c r="J41" s="1494"/>
      <c r="K41" s="1494"/>
      <c r="L41" s="1494"/>
      <c r="M41" s="1494"/>
      <c r="N41" s="1494"/>
      <c r="O41" s="1495"/>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1458</v>
      </c>
      <c r="B42" s="1493" t="s">
        <v>1401</v>
      </c>
      <c r="C42" s="1494" t="s">
        <v>1401</v>
      </c>
      <c r="D42" s="1494">
        <v>1</v>
      </c>
      <c r="E42" s="1494">
        <v>1</v>
      </c>
      <c r="F42" s="1494"/>
      <c r="G42" s="1494"/>
      <c r="H42" s="1494"/>
      <c r="I42" s="1494"/>
      <c r="J42" s="1494"/>
      <c r="K42" s="1494"/>
      <c r="L42" s="1494"/>
      <c r="M42" s="1494"/>
      <c r="N42" s="1494"/>
      <c r="O42" s="1495"/>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1459</v>
      </c>
      <c r="B43" s="1493" t="s">
        <v>1401</v>
      </c>
      <c r="C43" s="1494">
        <v>2</v>
      </c>
      <c r="D43" s="1494">
        <v>4</v>
      </c>
      <c r="E43" s="1494" t="s">
        <v>1401</v>
      </c>
      <c r="F43" s="1494"/>
      <c r="G43" s="1494"/>
      <c r="H43" s="1494"/>
      <c r="I43" s="1494"/>
      <c r="J43" s="1494"/>
      <c r="K43" s="1494"/>
      <c r="L43" s="1494"/>
      <c r="M43" s="1494"/>
      <c r="N43" s="1494"/>
      <c r="O43" s="1495"/>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1460</v>
      </c>
      <c r="B44" s="1493" t="s">
        <v>1401</v>
      </c>
      <c r="C44" s="1494">
        <v>5</v>
      </c>
      <c r="D44" s="1494">
        <v>10</v>
      </c>
      <c r="E44" s="1494">
        <v>7</v>
      </c>
      <c r="F44" s="1494"/>
      <c r="G44" s="1494"/>
      <c r="H44" s="1494"/>
      <c r="I44" s="1494"/>
      <c r="J44" s="1494"/>
      <c r="K44" s="1494"/>
      <c r="L44" s="1494"/>
      <c r="M44" s="1494"/>
      <c r="N44" s="1494"/>
      <c r="O44" s="1495"/>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1461</v>
      </c>
      <c r="B45" s="1493" t="s">
        <v>1401</v>
      </c>
      <c r="C45" s="1494">
        <v>1</v>
      </c>
      <c r="D45" s="1494">
        <v>1</v>
      </c>
      <c r="E45" s="1494" t="s">
        <v>1401</v>
      </c>
      <c r="F45" s="1494"/>
      <c r="G45" s="1494"/>
      <c r="H45" s="1494"/>
      <c r="I45" s="1494"/>
      <c r="J45" s="1494"/>
      <c r="K45" s="1494"/>
      <c r="L45" s="1494"/>
      <c r="M45" s="1494"/>
      <c r="N45" s="1494"/>
      <c r="O45" s="1495"/>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1462</v>
      </c>
      <c r="B46" s="1493" t="s">
        <v>1401</v>
      </c>
      <c r="C46" s="1494" t="s">
        <v>1401</v>
      </c>
      <c r="D46" s="1494">
        <v>2</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1463</v>
      </c>
      <c r="B47" s="1493" t="s">
        <v>1401</v>
      </c>
      <c r="C47" s="1494">
        <v>1</v>
      </c>
      <c r="D47" s="1494" t="s">
        <v>1401</v>
      </c>
      <c r="E47" s="1494">
        <v>1</v>
      </c>
      <c r="F47" s="1494"/>
      <c r="G47" s="1494"/>
      <c r="H47" s="1494"/>
      <c r="I47" s="1494"/>
      <c r="J47" s="1494"/>
      <c r="K47" s="1494"/>
      <c r="L47" s="1494"/>
      <c r="M47" s="1494"/>
      <c r="N47" s="1494"/>
      <c r="O47" s="1495"/>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1464</v>
      </c>
      <c r="B48" s="1493" t="s">
        <v>1401</v>
      </c>
      <c r="C48" s="1494">
        <v>1</v>
      </c>
      <c r="D48" s="1494" t="s">
        <v>1401</v>
      </c>
      <c r="E48" s="1494">
        <v>1</v>
      </c>
      <c r="F48" s="1494"/>
      <c r="G48" s="1494"/>
      <c r="H48" s="1494"/>
      <c r="I48" s="1494"/>
      <c r="J48" s="1494"/>
      <c r="K48" s="1494"/>
      <c r="L48" s="1494"/>
      <c r="M48" s="1494"/>
      <c r="N48" s="1494"/>
      <c r="O48" s="1495"/>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1465</v>
      </c>
      <c r="B49" s="1497" t="s">
        <v>1401</v>
      </c>
      <c r="C49" s="1498">
        <v>1</v>
      </c>
      <c r="D49" s="1498" t="s">
        <v>1401</v>
      </c>
      <c r="E49" s="1498">
        <v>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h+X08tzuZT4ark0I+xyFf0zm8blDvdatewM2SV3SJe1olpg1tgQo7i4BRd8DZUeC1+iknf9zyikd+Em8EMSYxg==" saltValue="j3Olvas6ngF3+m5Bg6j9z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55" priority="2">
      <formula>OR(A14="Girder",A14="Girders",A14="Joist",A14="Joists",A14="Bridging")</formula>
    </cfRule>
    <cfRule type="expression" dxfId="754" priority="3">
      <formula>AND(P14&gt;0,ISBLANK(AF14),OR($R$1="",$R$1="M"))</formula>
    </cfRule>
    <cfRule type="expression" dxfId="753" priority="9">
      <formula>$AH14</formula>
    </cfRule>
  </conditionalFormatting>
  <conditionalFormatting sqref="H2:J4">
    <cfRule type="cellIs" dxfId="752" priority="7" stopIfTrue="1" operator="equal">
      <formula>""</formula>
    </cfRule>
  </conditionalFormatting>
  <conditionalFormatting sqref="B14:O49">
    <cfRule type="expression" dxfId="751" priority="4">
      <formula>IF($R$1="M",AND(B14&gt;R14,R14&gt;0),B14&lt;R14)</formula>
    </cfRule>
    <cfRule type="expression" dxfId="750" priority="5">
      <formula>OR(AND($R$1="M",NOT($S$1),B14=R14),B14="-")</formula>
    </cfRule>
    <cfRule type="expression" dxfId="749" priority="6">
      <formula>IF(NOT(ISBLANK($R$1)),IF($R$1="M",IF(ISTEXT(B14),0,B14)&lt;R14,IF(ISTEXT(B14),0,B14)&gt;R14))</formula>
    </cfRule>
    <cfRule type="expression" dxfId="748" priority="8">
      <formula>OR($AH14,B$63)</formula>
    </cfRule>
  </conditionalFormatting>
  <conditionalFormatting sqref="B13:O13">
    <cfRule type="expression" dxfId="747" priority="1">
      <formula>AND(NOT(ISBLANK(B$13)),ISERROR(MATCH(B$13,$AK:$AK,0)))</formula>
    </cfRule>
    <cfRule type="expression" dxfId="7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1466</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1467</v>
      </c>
      <c r="B16" s="1493" t="s">
        <v>1401</v>
      </c>
      <c r="C16" s="1494" t="s">
        <v>1401</v>
      </c>
      <c r="D16" s="1494">
        <v>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1468</v>
      </c>
      <c r="B17" s="1493" t="s">
        <v>1401</v>
      </c>
      <c r="C17" s="1494" t="s">
        <v>1401</v>
      </c>
      <c r="D17" s="1494">
        <v>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1469</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1470</v>
      </c>
      <c r="B19" s="1493" t="s">
        <v>1401</v>
      </c>
      <c r="C19" s="1494">
        <v>1</v>
      </c>
      <c r="D19" s="1494" t="s">
        <v>1401</v>
      </c>
      <c r="E19" s="1494">
        <v>1</v>
      </c>
      <c r="F19" s="1494"/>
      <c r="G19" s="1494"/>
      <c r="H19" s="1494"/>
      <c r="I19" s="1494"/>
      <c r="J19" s="1494"/>
      <c r="K19" s="1494"/>
      <c r="L19" s="1494"/>
      <c r="M19" s="1494"/>
      <c r="N19" s="1494"/>
      <c r="O19" s="1495"/>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1471</v>
      </c>
      <c r="B20" s="1493" t="s">
        <v>1401</v>
      </c>
      <c r="C20" s="1494">
        <v>1</v>
      </c>
      <c r="D20" s="1494" t="s">
        <v>1401</v>
      </c>
      <c r="E20" s="1494">
        <v>1</v>
      </c>
      <c r="F20" s="1494"/>
      <c r="G20" s="1494"/>
      <c r="H20" s="1494"/>
      <c r="I20" s="1494"/>
      <c r="J20" s="1494"/>
      <c r="K20" s="1494"/>
      <c r="L20" s="1494"/>
      <c r="M20" s="1494"/>
      <c r="N20" s="1494"/>
      <c r="O20" s="1495"/>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1472</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1473</v>
      </c>
      <c r="B22" s="1493" t="s">
        <v>1401</v>
      </c>
      <c r="C22" s="1494">
        <v>27</v>
      </c>
      <c r="D22" s="1494">
        <v>30</v>
      </c>
      <c r="E22" s="1494">
        <v>27</v>
      </c>
      <c r="F22" s="1494"/>
      <c r="G22" s="1494"/>
      <c r="H22" s="1494"/>
      <c r="I22" s="1494"/>
      <c r="J22" s="1494"/>
      <c r="K22" s="1494"/>
      <c r="L22" s="1494"/>
      <c r="M22" s="1494"/>
      <c r="N22" s="1494"/>
      <c r="O22" s="1495"/>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1474</v>
      </c>
      <c r="B23" s="1493" t="s">
        <v>1401</v>
      </c>
      <c r="C23" s="1494">
        <v>3</v>
      </c>
      <c r="D23" s="1494">
        <v>3</v>
      </c>
      <c r="E23" s="1494">
        <v>3</v>
      </c>
      <c r="F23" s="1494"/>
      <c r="G23" s="1494"/>
      <c r="H23" s="1494"/>
      <c r="I23" s="1494"/>
      <c r="J23" s="1494"/>
      <c r="K23" s="1494"/>
      <c r="L23" s="1494"/>
      <c r="M23" s="1494"/>
      <c r="N23" s="1494"/>
      <c r="O23" s="1495"/>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1475</v>
      </c>
      <c r="B24" s="1493" t="s">
        <v>1401</v>
      </c>
      <c r="C24" s="1494" t="s">
        <v>1401</v>
      </c>
      <c r="D24" s="1494">
        <v>1</v>
      </c>
      <c r="E24" s="1494">
        <v>1</v>
      </c>
      <c r="F24" s="1494"/>
      <c r="G24" s="1494"/>
      <c r="H24" s="1494"/>
      <c r="I24" s="1494"/>
      <c r="J24" s="1494"/>
      <c r="K24" s="1494"/>
      <c r="L24" s="1494"/>
      <c r="M24" s="1494"/>
      <c r="N24" s="1494"/>
      <c r="O24" s="1495"/>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1476</v>
      </c>
      <c r="B25" s="1493" t="s">
        <v>1401</v>
      </c>
      <c r="C25" s="1494">
        <v>2</v>
      </c>
      <c r="D25" s="1494">
        <v>2</v>
      </c>
      <c r="E25" s="1494" t="s">
        <v>1401</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1477</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1478</v>
      </c>
      <c r="B27" s="1493" t="s">
        <v>1401</v>
      </c>
      <c r="C27" s="1494">
        <v>1</v>
      </c>
      <c r="D27" s="1494" t="s">
        <v>1401</v>
      </c>
      <c r="E27" s="1494">
        <v>1</v>
      </c>
      <c r="F27" s="1494"/>
      <c r="G27" s="1494"/>
      <c r="H27" s="1494"/>
      <c r="I27" s="1494"/>
      <c r="J27" s="1494"/>
      <c r="K27" s="1494"/>
      <c r="L27" s="1494"/>
      <c r="M27" s="1494"/>
      <c r="N27" s="1494"/>
      <c r="O27" s="1495"/>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1479</v>
      </c>
      <c r="B28" s="1493" t="s">
        <v>1401</v>
      </c>
      <c r="C28" s="1494">
        <v>1</v>
      </c>
      <c r="D28" s="1494" t="s">
        <v>1401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1480</v>
      </c>
      <c r="B29" s="1493" t="s">
        <v>1401</v>
      </c>
      <c r="C29" s="1494">
        <v>1</v>
      </c>
      <c r="D29" s="1494" t="s">
        <v>1401</v>
      </c>
      <c r="E29" s="1494">
        <v>1</v>
      </c>
      <c r="F29" s="1494"/>
      <c r="G29" s="1494"/>
      <c r="H29" s="1494"/>
      <c r="I29" s="1494"/>
      <c r="J29" s="1494"/>
      <c r="K29" s="1494"/>
      <c r="L29" s="1494"/>
      <c r="M29" s="1494"/>
      <c r="N29" s="1494"/>
      <c r="O29" s="1495"/>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1481</v>
      </c>
      <c r="B30" s="1493" t="s">
        <v>1401</v>
      </c>
      <c r="C30" s="1494" t="s">
        <v>1401</v>
      </c>
      <c r="D30" s="1494" t="s">
        <v>1401</v>
      </c>
      <c r="E30" s="1494">
        <v>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1482</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1483</v>
      </c>
      <c r="B32" s="1493" t="s">
        <v>1401</v>
      </c>
      <c r="C32" s="1494">
        <v>21</v>
      </c>
      <c r="D32" s="1494">
        <v>10</v>
      </c>
      <c r="E32" s="1494">
        <v>19</v>
      </c>
      <c r="F32" s="1494"/>
      <c r="G32" s="1494"/>
      <c r="H32" s="1494"/>
      <c r="I32" s="1494"/>
      <c r="J32" s="1494"/>
      <c r="K32" s="1494"/>
      <c r="L32" s="1494"/>
      <c r="M32" s="1494"/>
      <c r="N32" s="1494"/>
      <c r="O32" s="1495"/>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1484</v>
      </c>
      <c r="B33" s="1493" t="s">
        <v>1401</v>
      </c>
      <c r="C33" s="1494">
        <v>3</v>
      </c>
      <c r="D33" s="1494" t="s">
        <v>1401</v>
      </c>
      <c r="E33" s="1494">
        <v>3</v>
      </c>
      <c r="F33" s="1494"/>
      <c r="G33" s="1494"/>
      <c r="H33" s="1494"/>
      <c r="I33" s="1494"/>
      <c r="J33" s="1494"/>
      <c r="K33" s="1494"/>
      <c r="L33" s="1494"/>
      <c r="M33" s="1494"/>
      <c r="N33" s="1494"/>
      <c r="O33" s="1495"/>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1485</v>
      </c>
      <c r="B34" s="1493" t="s">
        <v>1401</v>
      </c>
      <c r="C34" s="1494">
        <v>3</v>
      </c>
      <c r="D34" s="1494" t="s">
        <v>1401</v>
      </c>
      <c r="E34" s="1494">
        <v>4</v>
      </c>
      <c r="F34" s="1494"/>
      <c r="G34" s="1494"/>
      <c r="H34" s="1494"/>
      <c r="I34" s="1494"/>
      <c r="J34" s="1494"/>
      <c r="K34" s="1494"/>
      <c r="L34" s="1494"/>
      <c r="M34" s="1494"/>
      <c r="N34" s="1494"/>
      <c r="O34" s="1495"/>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1486</v>
      </c>
      <c r="B35" s="1493" t="s">
        <v>1401</v>
      </c>
      <c r="C35" s="1494">
        <v>1</v>
      </c>
      <c r="D35" s="1494">
        <v>4</v>
      </c>
      <c r="E35" s="1494">
        <v>2</v>
      </c>
      <c r="F35" s="1494"/>
      <c r="G35" s="1494"/>
      <c r="H35" s="1494"/>
      <c r="I35" s="1494"/>
      <c r="J35" s="1494"/>
      <c r="K35" s="1494"/>
      <c r="L35" s="1494"/>
      <c r="M35" s="1494"/>
      <c r="N35" s="1494"/>
      <c r="O35" s="1495"/>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1487</v>
      </c>
      <c r="B36" s="1493" t="s">
        <v>1401</v>
      </c>
      <c r="C36" s="1494" t="s">
        <v>1401</v>
      </c>
      <c r="D36" s="1494">
        <v>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1488</v>
      </c>
      <c r="B37" s="1493" t="s">
        <v>1401</v>
      </c>
      <c r="C37" s="1494">
        <v>2</v>
      </c>
      <c r="D37" s="1494">
        <v>2</v>
      </c>
      <c r="E37" s="1494" t="s">
        <v>1401</v>
      </c>
      <c r="F37" s="1494"/>
      <c r="G37" s="1494"/>
      <c r="H37" s="1494"/>
      <c r="I37" s="1494"/>
      <c r="J37" s="1494"/>
      <c r="K37" s="1494"/>
      <c r="L37" s="1494"/>
      <c r="M37" s="1494"/>
      <c r="N37" s="1494"/>
      <c r="O37" s="1495"/>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1489</v>
      </c>
      <c r="B38" s="1493" t="s">
        <v>1401</v>
      </c>
      <c r="C38" s="1494" t="s">
        <v>1401</v>
      </c>
      <c r="D38" s="1494">
        <v>3</v>
      </c>
      <c r="E38" s="1494" t="s">
        <v>1401</v>
      </c>
      <c r="F38" s="1494"/>
      <c r="G38" s="1494"/>
      <c r="H38" s="1494"/>
      <c r="I38" s="1494"/>
      <c r="J38" s="1494"/>
      <c r="K38" s="1494"/>
      <c r="L38" s="1494"/>
      <c r="M38" s="1494"/>
      <c r="N38" s="1494"/>
      <c r="O38" s="1495"/>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1490</v>
      </c>
      <c r="B39" s="1493" t="s">
        <v>1401</v>
      </c>
      <c r="C39" s="1494" t="s">
        <v>1401</v>
      </c>
      <c r="D39" s="1494">
        <v>10</v>
      </c>
      <c r="E39" s="1494" t="s">
        <v>1401</v>
      </c>
      <c r="F39" s="1494"/>
      <c r="G39" s="1494"/>
      <c r="H39" s="1494"/>
      <c r="I39" s="1494"/>
      <c r="J39" s="1494"/>
      <c r="K39" s="1494"/>
      <c r="L39" s="1494"/>
      <c r="M39" s="1494"/>
      <c r="N39" s="1494"/>
      <c r="O39" s="1495"/>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1491</v>
      </c>
      <c r="B40" s="1493" t="s">
        <v>1401</v>
      </c>
      <c r="C40" s="1494" t="s">
        <v>1401</v>
      </c>
      <c r="D40" s="1494">
        <v>4</v>
      </c>
      <c r="E40" s="1494" t="s">
        <v>1401</v>
      </c>
      <c r="F40" s="1494"/>
      <c r="G40" s="1494"/>
      <c r="H40" s="1494"/>
      <c r="I40" s="1494"/>
      <c r="J40" s="1494"/>
      <c r="K40" s="1494"/>
      <c r="L40" s="1494"/>
      <c r="M40" s="1494"/>
      <c r="N40" s="1494"/>
      <c r="O40" s="1495"/>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1492</v>
      </c>
      <c r="B41" s="1493" t="s">
        <v>1401</v>
      </c>
      <c r="C41" s="1494" t="s">
        <v>1401</v>
      </c>
      <c r="D41" s="1494">
        <v>7</v>
      </c>
      <c r="E41" s="1494" t="s">
        <v>1401</v>
      </c>
      <c r="F41" s="1494"/>
      <c r="G41" s="1494"/>
      <c r="H41" s="1494"/>
      <c r="I41" s="1494"/>
      <c r="J41" s="1494"/>
      <c r="K41" s="1494"/>
      <c r="L41" s="1494"/>
      <c r="M41" s="1494"/>
      <c r="N41" s="1494"/>
      <c r="O41" s="1495"/>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1493</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1494</v>
      </c>
      <c r="B43" s="1493" t="s">
        <v>1401</v>
      </c>
      <c r="C43" s="1494" t="s">
        <v>1401</v>
      </c>
      <c r="D43" s="1494">
        <v>2</v>
      </c>
      <c r="E43" s="1494" t="s">
        <v>1401</v>
      </c>
      <c r="F43" s="1494"/>
      <c r="G43" s="1494"/>
      <c r="H43" s="1494"/>
      <c r="I43" s="1494"/>
      <c r="J43" s="1494"/>
      <c r="K43" s="1494"/>
      <c r="L43" s="1494"/>
      <c r="M43" s="1494"/>
      <c r="N43" s="1494"/>
      <c r="O43" s="1495"/>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1495</v>
      </c>
      <c r="B44" s="1493" t="s">
        <v>1401</v>
      </c>
      <c r="C44" s="1494" t="s">
        <v>1401</v>
      </c>
      <c r="D44" s="1494">
        <v>1</v>
      </c>
      <c r="E44" s="1494" t="s">
        <v>1401</v>
      </c>
      <c r="F44" s="1494"/>
      <c r="G44" s="1494"/>
      <c r="H44" s="1494"/>
      <c r="I44" s="1494"/>
      <c r="J44" s="1494"/>
      <c r="K44" s="1494"/>
      <c r="L44" s="1494"/>
      <c r="M44" s="1494"/>
      <c r="N44" s="1494"/>
      <c r="O44" s="1495"/>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1496</v>
      </c>
      <c r="B45" s="1493" t="s">
        <v>1401</v>
      </c>
      <c r="C45" s="1494" t="s">
        <v>1401</v>
      </c>
      <c r="D45" s="1494">
        <v>1</v>
      </c>
      <c r="E45" s="1494" t="s">
        <v>1401</v>
      </c>
      <c r="F45" s="1494"/>
      <c r="G45" s="1494"/>
      <c r="H45" s="1494"/>
      <c r="I45" s="1494"/>
      <c r="J45" s="1494"/>
      <c r="K45" s="1494"/>
      <c r="L45" s="1494"/>
      <c r="M45" s="1494"/>
      <c r="N45" s="1494"/>
      <c r="O45" s="1495"/>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1497</v>
      </c>
      <c r="B46" s="1493" t="s">
        <v>1401</v>
      </c>
      <c r="C46" s="1494">
        <v>2</v>
      </c>
      <c r="D46" s="1494" t="s">
        <v>1401</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1498</v>
      </c>
      <c r="B47" s="1493" t="s">
        <v>1401</v>
      </c>
      <c r="C47" s="1494">
        <v>1</v>
      </c>
      <c r="D47" s="1494" t="s">
        <v>1401</v>
      </c>
      <c r="E47" s="1494" t="s">
        <v>1401</v>
      </c>
      <c r="F47" s="1494"/>
      <c r="G47" s="1494"/>
      <c r="H47" s="1494"/>
      <c r="I47" s="1494"/>
      <c r="J47" s="1494"/>
      <c r="K47" s="1494"/>
      <c r="L47" s="1494"/>
      <c r="M47" s="1494"/>
      <c r="N47" s="1494"/>
      <c r="O47" s="1495"/>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1499</v>
      </c>
      <c r="B48" s="1493" t="s">
        <v>1401</v>
      </c>
      <c r="C48" s="1494">
        <v>1</v>
      </c>
      <c r="D48" s="1494" t="s">
        <v>1401</v>
      </c>
      <c r="E48" s="1494" t="s">
        <v>1401</v>
      </c>
      <c r="F48" s="1494"/>
      <c r="G48" s="1494"/>
      <c r="H48" s="1494"/>
      <c r="I48" s="1494"/>
      <c r="J48" s="1494"/>
      <c r="K48" s="1494"/>
      <c r="L48" s="1494"/>
      <c r="M48" s="1494"/>
      <c r="N48" s="1494"/>
      <c r="O48" s="1495"/>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1500</v>
      </c>
      <c r="B49" s="1497" t="s">
        <v>1401</v>
      </c>
      <c r="C49" s="1498">
        <v>2</v>
      </c>
      <c r="D49" s="1498" t="s">
        <v>1401</v>
      </c>
      <c r="E49" s="1498" t="s">
        <v>1401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H4j2fKjRX/3CNfJvU6ZKvjgCFPKbISp+sqaFW/cCHW37Q4qUW6t7nJpvG+RDsYYlqR/cRN6J78yyBKKvS8tuXw==" saltValue="QLdeEt796AmA627r6e36v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45" priority="2">
      <formula>OR(A14="Girder",A14="Girders",A14="Joist",A14="Joists",A14="Bridging")</formula>
    </cfRule>
    <cfRule type="expression" dxfId="744" priority="3">
      <formula>AND(P14&gt;0,ISBLANK(AF14),OR($R$1="",$R$1="M"))</formula>
    </cfRule>
    <cfRule type="expression" dxfId="743" priority="9">
      <formula>$AH14</formula>
    </cfRule>
  </conditionalFormatting>
  <conditionalFormatting sqref="H2:J4">
    <cfRule type="cellIs" dxfId="742" priority="7" stopIfTrue="1" operator="equal">
      <formula>""</formula>
    </cfRule>
  </conditionalFormatting>
  <conditionalFormatting sqref="B14:O49">
    <cfRule type="expression" dxfId="741" priority="4">
      <formula>IF($R$1="M",AND(B14&gt;R14,R14&gt;0),B14&lt;R14)</formula>
    </cfRule>
    <cfRule type="expression" dxfId="740" priority="5">
      <formula>OR(AND($R$1="M",NOT($S$1),B14=R14),B14="-")</formula>
    </cfRule>
    <cfRule type="expression" dxfId="739" priority="6">
      <formula>IF(NOT(ISBLANK($R$1)),IF($R$1="M",IF(ISTEXT(B14),0,B14)&lt;R14,IF(ISTEXT(B14),0,B14)&gt;R14))</formula>
    </cfRule>
    <cfRule type="expression" dxfId="738" priority="8">
      <formula>OR($AH14,B$63)</formula>
    </cfRule>
  </conditionalFormatting>
  <conditionalFormatting sqref="B13:O13">
    <cfRule type="expression" dxfId="737" priority="1">
      <formula>AND(NOT(ISBLANK(B$13)),ISERROR(MATCH(B$13,$AK:$AK,0)))</formula>
    </cfRule>
    <cfRule type="expression" dxfId="73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1501</v>
      </c>
      <c r="B15" s="1493" t="s">
        <v>1401</v>
      </c>
      <c r="C15" s="1494">
        <v>1</v>
      </c>
      <c r="D15" s="1494" t="s">
        <v>1401</v>
      </c>
      <c r="E15" s="1494" t="s">
        <v>1401</v>
      </c>
      <c r="F15" s="1494"/>
      <c r="G15" s="1494"/>
      <c r="H15" s="1494"/>
      <c r="I15" s="1494"/>
      <c r="J15" s="1494"/>
      <c r="K15" s="1494"/>
      <c r="L15" s="1494"/>
      <c r="M15" s="1494"/>
      <c r="N15" s="1494"/>
      <c r="O15" s="1495"/>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1502</v>
      </c>
      <c r="B16" s="1493" t="s">
        <v>1401</v>
      </c>
      <c r="C16" s="1494" t="s">
        <v>1401</v>
      </c>
      <c r="D16" s="1494">
        <v>2</v>
      </c>
      <c r="E16" s="1494" t="s">
        <v>1401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1503</v>
      </c>
      <c r="B17" s="1493" t="s">
        <v>1401</v>
      </c>
      <c r="C17" s="1494">
        <v>1</v>
      </c>
      <c r="D17" s="1494" t="s">
        <v>1401</v>
      </c>
      <c r="E17" s="1494" t="s">
        <v>1401</v>
      </c>
      <c r="F17" s="1494"/>
      <c r="G17" s="1494"/>
      <c r="H17" s="1494"/>
      <c r="I17" s="1494"/>
      <c r="J17" s="1494"/>
      <c r="K17" s="1494"/>
      <c r="L17" s="1494"/>
      <c r="M17" s="1494"/>
      <c r="N17" s="1494"/>
      <c r="O17" s="1495"/>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t="s">
        <v>1504</v>
      </c>
      <c r="B19" s="1493"/>
      <c r="C19" s="1494"/>
      <c r="D19" s="1494"/>
      <c r="E19" s="1494"/>
      <c r="F19" s="1494"/>
      <c r="G19" s="1494"/>
      <c r="H19" s="1494"/>
      <c r="I19" s="1494"/>
      <c r="J19" s="1494"/>
      <c r="K19" s="1494"/>
      <c r="L19" s="1494"/>
      <c r="M19" s="1494"/>
      <c r="N19" s="1494"/>
      <c r="O19" s="1495"/>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t="s">
        <v>1505</v>
      </c>
      <c r="B20" s="1493">
        <v>12</v>
      </c>
      <c r="C20" s="1494">
        <v>295</v>
      </c>
      <c r="D20" s="1494">
        <v>308</v>
      </c>
      <c r="E20" s="1494">
        <v>306</v>
      </c>
      <c r="F20" s="1494"/>
      <c r="G20" s="1494"/>
      <c r="H20" s="1494"/>
      <c r="I20" s="1494"/>
      <c r="J20" s="1494"/>
      <c r="K20" s="1494"/>
      <c r="L20" s="1494"/>
      <c r="M20" s="1494"/>
      <c r="N20" s="1494"/>
      <c r="O20" s="1495"/>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t="s">
        <v>1506</v>
      </c>
      <c r="B22" s="1493" t="s">
        <v>1401</v>
      </c>
      <c r="C22" s="1494">
        <v>32</v>
      </c>
      <c r="D22" s="1494">
        <v>32</v>
      </c>
      <c r="E22" s="1494" t="s">
        <v>1401</v>
      </c>
      <c r="F22" s="1494"/>
      <c r="G22" s="1494"/>
      <c r="H22" s="1494"/>
      <c r="I22" s="1494"/>
      <c r="J22" s="1494"/>
      <c r="K22" s="1494"/>
      <c r="L22" s="1494"/>
      <c r="M22" s="1494"/>
      <c r="N22" s="1494"/>
      <c r="O22" s="1495"/>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1492" t="s">
        <v>1507</v>
      </c>
      <c r="B23" s="1493" t="s">
        <v>1401</v>
      </c>
      <c r="C23" s="1494">
        <v>4</v>
      </c>
      <c r="D23" s="1494">
        <v>4</v>
      </c>
      <c r="E23" s="1494" t="s">
        <v>1401</v>
      </c>
      <c r="F23" s="1494"/>
      <c r="G23" s="1494"/>
      <c r="H23" s="1494"/>
      <c r="I23" s="1494"/>
      <c r="J23" s="1494"/>
      <c r="K23" s="1494"/>
      <c r="L23" s="1494"/>
      <c r="M23" s="1494"/>
      <c r="N23" s="1494"/>
      <c r="O23" s="1495"/>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t="s">
        <v>1508</v>
      </c>
      <c r="B25" s="1493" t="s">
        <v>1401</v>
      </c>
      <c r="C25" s="1494">
        <v>4</v>
      </c>
      <c r="D25" s="1494" t="s">
        <v>1401</v>
      </c>
      <c r="E25" s="1494">
        <v>4</v>
      </c>
      <c r="F25" s="1494"/>
      <c r="G25" s="1494"/>
      <c r="H25" s="1494"/>
      <c r="I25" s="1494"/>
      <c r="J25" s="1494"/>
      <c r="K25" s="1494"/>
      <c r="L25" s="1494"/>
      <c r="M25" s="1494"/>
      <c r="N25" s="1494"/>
      <c r="O25" s="1495"/>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1492" t="s">
        <v>1509</v>
      </c>
      <c r="B26" s="1493" t="s">
        <v>1401</v>
      </c>
      <c r="C26" s="1494">
        <v>6</v>
      </c>
      <c r="D26" s="1494" t="s">
        <v>1401</v>
      </c>
      <c r="E26" s="1494">
        <v>6</v>
      </c>
      <c r="F26" s="1494"/>
      <c r="G26" s="1494"/>
      <c r="H26" s="1494"/>
      <c r="I26" s="1494"/>
      <c r="J26" s="1494"/>
      <c r="K26" s="1494"/>
      <c r="L26" s="1494"/>
      <c r="M26" s="1494"/>
      <c r="N26" s="1494"/>
      <c r="O26" s="1495"/>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t="s">
        <v>1510</v>
      </c>
      <c r="B28" s="1493" t="s">
        <v>1401</v>
      </c>
      <c r="C28" s="1494">
        <v>136</v>
      </c>
      <c r="D28" s="1494">
        <v>136</v>
      </c>
      <c r="E28" s="1494">
        <v>136</v>
      </c>
      <c r="F28" s="1494"/>
      <c r="G28" s="1494"/>
      <c r="H28" s="1494"/>
      <c r="I28" s="1494"/>
      <c r="J28" s="1494"/>
      <c r="K28" s="1494"/>
      <c r="L28" s="1494"/>
      <c r="M28" s="1494"/>
      <c r="N28" s="1494"/>
      <c r="O28" s="1495"/>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1492" t="s">
        <v>1511</v>
      </c>
      <c r="B29" s="1493" t="s">
        <v>1401</v>
      </c>
      <c r="C29" s="1494">
        <v>4</v>
      </c>
      <c r="D29" s="1494">
        <v>4</v>
      </c>
      <c r="E29" s="1494" t="s">
        <v>1401</v>
      </c>
      <c r="F29" s="1494"/>
      <c r="G29" s="1494"/>
      <c r="H29" s="1494"/>
      <c r="I29" s="1494"/>
      <c r="J29" s="1494"/>
      <c r="K29" s="1494"/>
      <c r="L29" s="1494"/>
      <c r="M29" s="1494"/>
      <c r="N29" s="1494"/>
      <c r="O29" s="1495"/>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1492" t="s">
        <v>1512</v>
      </c>
      <c r="B30" s="1493" t="s">
        <v>1401</v>
      </c>
      <c r="C30" s="1494">
        <v>204</v>
      </c>
      <c r="D30" s="1494">
        <v>204</v>
      </c>
      <c r="E30" s="1494">
        <v>204</v>
      </c>
      <c r="F30" s="1494"/>
      <c r="G30" s="1494"/>
      <c r="H30" s="1494"/>
      <c r="I30" s="1494"/>
      <c r="J30" s="1494"/>
      <c r="K30" s="1494"/>
      <c r="L30" s="1494"/>
      <c r="M30" s="1494"/>
      <c r="N30" s="1494"/>
      <c r="O30" s="1495"/>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1492" t="s">
        <v>1513</v>
      </c>
      <c r="B31" s="1493" t="s">
        <v>1401</v>
      </c>
      <c r="C31" s="1494" t="s">
        <v>1401</v>
      </c>
      <c r="D31" s="1494">
        <v>6</v>
      </c>
      <c r="E31" s="1494">
        <v>6</v>
      </c>
      <c r="F31" s="1494"/>
      <c r="G31" s="1494"/>
      <c r="H31" s="1494"/>
      <c r="I31" s="1494"/>
      <c r="J31" s="1494"/>
      <c r="K31" s="1494"/>
      <c r="L31" s="1494"/>
      <c r="M31" s="1494"/>
      <c r="N31" s="1494"/>
      <c r="O31" s="1495"/>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1492" t="s">
        <v>1514</v>
      </c>
      <c r="B32" s="1493" t="s">
        <v>1401</v>
      </c>
      <c r="C32" s="1494">
        <v>6</v>
      </c>
      <c r="D32" s="1494">
        <v>6</v>
      </c>
      <c r="E32" s="1494" t="s">
        <v>1401</v>
      </c>
      <c r="F32" s="1494"/>
      <c r="G32" s="1494"/>
      <c r="H32" s="1494"/>
      <c r="I32" s="1494"/>
      <c r="J32" s="1494"/>
      <c r="K32" s="1494"/>
      <c r="L32" s="1494"/>
      <c r="M32" s="1494"/>
      <c r="N32" s="1494"/>
      <c r="O32" s="1495"/>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bgxNLnhrgOafEY+x6DEDv1rW39oQqr/XrLfnnCeuQxaL33qUmczIOo1WTt9Ciq+0VpvbXkz9+CFfrozsLH8RJg==" saltValue="OjApePNf7kSfRP2UkxUov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35" priority="2">
      <formula>OR(A14="Girder",A14="Girders",A14="Joist",A14="Joists",A14="Bridging")</formula>
    </cfRule>
    <cfRule type="expression" dxfId="734" priority="3">
      <formula>AND(P14&gt;0,ISBLANK(AF14),OR($R$1="",$R$1="M"))</formula>
    </cfRule>
    <cfRule type="expression" dxfId="733" priority="9">
      <formula>$AH14</formula>
    </cfRule>
  </conditionalFormatting>
  <conditionalFormatting sqref="H2:J4">
    <cfRule type="cellIs" dxfId="732" priority="7" stopIfTrue="1" operator="equal">
      <formula>""</formula>
    </cfRule>
  </conditionalFormatting>
  <conditionalFormatting sqref="B14:O49">
    <cfRule type="expression" dxfId="731" priority="4">
      <formula>IF($R$1="M",AND(B14&gt;R14,R14&gt;0),B14&lt;R14)</formula>
    </cfRule>
    <cfRule type="expression" dxfId="730" priority="5">
      <formula>OR(AND($R$1="M",NOT($S$1),B14=R14),B14="-")</formula>
    </cfRule>
    <cfRule type="expression" dxfId="729" priority="6">
      <formula>IF(NOT(ISBLANK($R$1)),IF($R$1="M",IF(ISTEXT(B14),0,B14)&lt;R14,IF(ISTEXT(B14),0,B14)&gt;R14))</formula>
    </cfRule>
    <cfRule type="expression" dxfId="728" priority="8">
      <formula>OR($AH14,B$63)</formula>
    </cfRule>
  </conditionalFormatting>
  <conditionalFormatting sqref="B13:O13">
    <cfRule type="expression" dxfId="727" priority="1">
      <formula>AND(NOT(ISBLANK(B$13)),ISERROR(MATCH(B$13,$AK:$AK,0)))</formula>
    </cfRule>
    <cfRule type="expression" dxfId="72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3110-6BB4-4ECE-B234-39BA629F8718}">
  <sheetPr codeName="Sheet29">
    <tabColor indexed="42"/>
  </sheetPr>
  <dimension ref="A1:JP92"/>
  <sheetViews>
    <sheetView showGridLines="0" zoomScaleNormal="100" zoomScaleSheetLayoutView="50" workbookViewId="0">
      <selection activeCell="GA43" sqref="GA43"/>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
        <v>1389</v>
      </c>
      <c r="N7" s="2144"/>
      <c r="O7" s="2144"/>
      <c r="P7" s="2144"/>
      <c r="Q7" s="2144"/>
      <c r="R7" s="2144"/>
      <c r="S7" s="2144"/>
      <c r="T7"/>
      <c r="U7"/>
      <c r="V7" s="2140" t="s">
        <v>21</v>
      </c>
      <c r="W7" s="2140"/>
      <c r="X7" s="1175" t="str">
        <f>CONCATENATE(BI7, " of ",IF(ISBLANK('Job Info.'!D9),"",'Job Info.'!D9))</f>
        <v>11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12 of 19</v>
      </c>
      <c r="BC7" s="658"/>
      <c r="BD7" s="658"/>
      <c r="BE7" s="374"/>
      <c r="BF7" s="374"/>
      <c r="BG7" s="374"/>
      <c r="BH7" s="261"/>
      <c r="BI7" s="1083">
        <v>11</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
        <v>1400</v>
      </c>
      <c r="AC14" s="1734" t="s">
        <v>35</v>
      </c>
      <c r="AD14" s="1735">
        <v>6</v>
      </c>
      <c r="AE14" s="1736">
        <v>0.375</v>
      </c>
      <c r="AF14" s="1734">
        <v>7</v>
      </c>
      <c r="AG14" s="1735">
        <v>6</v>
      </c>
      <c r="AH14" s="1736">
        <v>2.75</v>
      </c>
      <c r="AI14" s="1735">
        <v>6</v>
      </c>
      <c r="AJ14" s="1736">
        <v>6.125</v>
      </c>
      <c r="AK14" s="1737" t="str">
        <f>IF(ISBLANK(DO14),"",DO14)</f>
        <v/>
      </c>
      <c r="AL14" s="1738" t="s">
        <v>35</v>
      </c>
      <c r="AM14" s="1739">
        <v>5</v>
      </c>
      <c r="AN14" s="1734">
        <v>13</v>
      </c>
      <c r="AO14" s="1740">
        <v>4</v>
      </c>
      <c r="AP14" s="1741">
        <v>1.75</v>
      </c>
      <c r="AQ14" s="1742" t="str">
        <f t="shared" ref="AP14:AQ45" si="3">IF(ISERROR(GE54),"ERR",IF(OR(GE54="",GE54=0),"",GE54))</f>
        <v/>
      </c>
      <c r="AR14" s="1743" t="str">
        <f>IF(ISERROR(GF54),"ERR",IF(GF54="","",IF(ISTEXT(GF54),"P",TRUNC(GF54/12))))</f>
        <v/>
      </c>
      <c r="AS14" s="1736" t="str">
        <f>IF(ISERROR(GF54),"",IF(GF54="","",IF(AR14="P",GF54,GF54-(AR14*12))))</f>
        <v/>
      </c>
      <c r="AT14" s="1744" t="str">
        <f>IF(ISBLANK(DX14),"",DX14)</f>
        <v/>
      </c>
      <c r="AU14" s="1745" t="str">
        <f t="shared" ref="AU14:AU45" si="4">IF(ISBLANK(DY14),"",UPPER(DY14))</f>
        <v/>
      </c>
      <c r="AV14" s="1700" t="str">
        <f>IF(ISERROR(GG54),"ERR",IF(GG54="","",IF(ISTEXT(GG54),"P",TRUNC(GG54/12))))</f>
        <v/>
      </c>
      <c r="AW14" s="1736" t="str">
        <f>IF(ISERROR(GG54),"",IF(GG54="","",IF(AV14="P",GG54,GG54-(AV14*12))))</f>
        <v/>
      </c>
      <c r="AX14" s="1744" t="str">
        <f>IF(ISBLANK(EB14),"",EB14)</f>
        <v/>
      </c>
      <c r="AY14" s="1745" t="str">
        <f t="shared" ref="AY14:AY45" si="5">IF(ISBLANK(EC14),"",UPPER(EC14))</f>
        <v/>
      </c>
      <c r="AZ14" s="1700" t="str">
        <f>IF(ISERROR(GH54),"ERR",IF(GH54="","",IF(ISTEXT(GH54),"P",TRUNC(GH54/12))))</f>
        <v/>
      </c>
      <c r="BA14" s="1736" t="str">
        <f>IF(ISERROR(GH54),"",IF(GH54="","",IF(AZ14="P",GH54,GH54-(AZ14*12))))</f>
        <v/>
      </c>
      <c r="BB14" s="1744" t="str">
        <f>IF(ISBLANK(EF14),"",EF14)</f>
        <v/>
      </c>
      <c r="BC14" s="1745" t="str">
        <f t="shared" ref="BC14:BC45" si="6">IF(ISBLANK(EG14),"",UPPER(EG14))</f>
        <v/>
      </c>
      <c r="BD14" s="1700" t="str">
        <f>IF(ISERROR(GI54),"ERR",IF(GI54="","",IF(ISTEXT(GI54),"P",TRUNC(GI54/12))))</f>
        <v/>
      </c>
      <c r="BE14" s="1736" t="str">
        <f>IF(ISERROR(GI54),"",IF(GI54="","",IF(BD14="P",GI54,GI54-(BD14*12))))</f>
        <v/>
      </c>
      <c r="BF14" s="1744" t="str">
        <f>IF(ISBLANK(EJ14),"",EJ14)</f>
        <v/>
      </c>
      <c r="BG14" s="1746" t="str">
        <f t="shared" ref="BG14:BG45" si="7">IF(ISBLANK(EK14),"",UPPER(EK14))</f>
        <v/>
      </c>
      <c r="BH14" s="261"/>
      <c r="BJ14" s="143"/>
      <c r="BL14" s="1798"/>
      <c r="BW14" s="991">
        <f>IF(AB14="",0,1)+IF(AC14="",0,1)+IF(AD14="",0,1)+IF(AE14="",0,1)+IF(AF14="",0,1)+IF(AG14="",0,1)+IF(AH14="",0,1)+IF(AI14="",0,1)+IF(AJ14="",0,1)+IF(AK14="",0,1)+IF(AL14="",0,1)+IF(AM14="",0,1)+IF(AN14="",0,1)+IF(AO14="",0,1)+IF(AP14="",0,1)+IF(AQ14="",0,1)+IF(AR14="",0,1)+IF(AS14="",0,1)+IF(AT14="",0,1)+IF(AU14="",0,1)+IF(AV14="",0,1)+IF(AW14="",0,1)+IF(AX14="",0,1)+IF(AY14="",0,1)+IF(AZ14="",0,1)+IF(BA14="",0,1)+IF(BB14="",0,1)+IF(BC14="",0,1)+IF(BD14="",0,1)+IF(BE14="",0,1)+IF(BF14="",0,1)+IF(BG14="",0,1)</f>
        <v>14</v>
      </c>
      <c r="BX14" s="994" t="str">
        <f>AB14</f>
        <v>G1</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G1B</v>
      </c>
      <c r="EY14" s="940" t="b">
        <f t="shared" ref="EY14:EY45" ca="1" si="8">IF(OR(ISBLANK(AB14),AB14=""),"",VLOOKUP(LEFT(EX14,LEN(EX14)-1),$BJ$28:$BO$45,6,FALSE)=SUMIF($EX$14:$EX$45,EX14,$AF$14:$AF$45)+2)</f>
        <v>1</v>
      </c>
      <c r="EZ14" s="940">
        <f>IF(AB14="","",IF(VLOOKUP(BX14,$A$28:$F$45,6,FALSE)="",0,HLOOKUP(VLOOKUP(BX14,$A$28:$F$45,6,FALSE),$FG$4:$FI$5,2,TRUE)))</f>
        <v>5</v>
      </c>
      <c r="FA14" s="958" t="b">
        <f>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673.75</v>
      </c>
      <c r="FC14" s="134">
        <f t="shared" ref="FC14:FC45" si="9">IF(ISNUMBER(AD14),AD14,0)*12+IF(ISNUMBER(AE14),AE14,0)</f>
        <v>72.375</v>
      </c>
      <c r="FD14" s="134">
        <f t="shared" ref="FD14:FD45" si="10">IF(ISNUMBER(AF14),AF14,0)*(IF(ISNUMBER(AG14),AG14,0)*12+IF(ISNUMBER(AH14),AH14,0))</f>
        <v>523.25</v>
      </c>
      <c r="FE14" s="134">
        <f t="shared" ref="FE14:FE45" si="11">IF(ISNUMBER(AI14),AI14,0)*12+IF(ISNUMBER(AJ14),AJ14,0)</f>
        <v>78.125</v>
      </c>
      <c r="FF14" s="134">
        <f>SUM(FC14:FE14)+IF(FE14=0,FF15,0)</f>
        <v>673.75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t="s">
        <v>1400</v>
      </c>
      <c r="IF14" s="1257" t="s">
        <v>35</v>
      </c>
      <c r="IG14" s="1258">
        <v>6</v>
      </c>
      <c r="IH14" s="1259">
        <v>0.375</v>
      </c>
      <c r="II14" s="1257">
        <v>7</v>
      </c>
      <c r="IJ14" s="1258">
        <v>6</v>
      </c>
      <c r="IK14" s="1259">
        <v>2.75</v>
      </c>
      <c r="IL14" s="1257">
        <v>6</v>
      </c>
      <c r="IM14" s="1257">
        <v>6.125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
        <v>1402</v>
      </c>
      <c r="AC15" s="1710" t="s">
        <v>35</v>
      </c>
      <c r="AD15" s="1705">
        <v>6</v>
      </c>
      <c r="AE15" s="1709">
        <v>0.375</v>
      </c>
      <c r="AF15" s="1710">
        <v>7</v>
      </c>
      <c r="AG15" s="1705">
        <v>6</v>
      </c>
      <c r="AH15" s="1709">
        <v>2.75</v>
      </c>
      <c r="AI15" s="1705">
        <v>6</v>
      </c>
      <c r="AJ15" s="1709">
        <v>0.375</v>
      </c>
      <c r="AK15" s="1747" t="str">
        <f t="shared" ref="AK15:AK45" si="12">IF(ISBLANK(DO15),"",DO15)</f>
        <v/>
      </c>
      <c r="AL15" s="1748" t="s">
        <v>35</v>
      </c>
      <c r="AM15" s="1749">
        <v>5</v>
      </c>
      <c r="AN15" s="1710">
        <v>13</v>
      </c>
      <c r="AO15" s="1750">
        <v>4</v>
      </c>
      <c r="AP15" s="1712">
        <v>1.75</v>
      </c>
      <c r="AQ15" s="1751">
        <v>1.75</v>
      </c>
      <c r="AR15" s="1708" t="str">
        <f t="shared" ref="AR15:AR45" si="13">IF(ISERROR(GF55),"ERR",IF(GF55="","",IF(ISTEXT(GF55),"P",TRUNC(GF55/12))))</f>
        <v/>
      </c>
      <c r="AS15" s="1709" t="str">
        <f t="shared" ref="AS15:AS45" si="14">IF(ISERROR(GF55),"",IF(GF55="","",IF(AR15="P",GF55,GF55-(AR15*12))))</f>
        <v/>
      </c>
      <c r="AT15" s="1752" t="str">
        <f t="shared" ref="AT15:AT45" si="15">IF(ISBLANK(DX15),"",DX15)</f>
        <v/>
      </c>
      <c r="AU15" s="1753" t="str">
        <f t="shared" si="4"/>
        <v/>
      </c>
      <c r="AV15" s="1714" t="str">
        <f t="shared" ref="AV15:AV45" si="16">IF(ISERROR(GG55),"ERR",IF(GG55="","",IF(ISTEXT(GG55),"P",TRUNC(GG55/12))))</f>
        <v/>
      </c>
      <c r="AW15" s="1709" t="str">
        <f t="shared" ref="AW15:AW45" si="17">IF(ISERROR(GG55),"",IF(GG55="","",IF(AV15="P",GG55,GG55-(AV15*12))))</f>
        <v/>
      </c>
      <c r="AX15" s="1752" t="str">
        <f t="shared" ref="AX15:AX45" si="18">IF(ISBLANK(EB15),"",EB15)</f>
        <v/>
      </c>
      <c r="AY15" s="1753" t="str">
        <f t="shared" si="5"/>
        <v/>
      </c>
      <c r="AZ15" s="1714" t="str">
        <f t="shared" ref="AZ15:AZ45" si="19">IF(ISERROR(GH55),"ERR",IF(GH55="","",IF(ISTEXT(GH55),"P",TRUNC(GH55/12))))</f>
        <v/>
      </c>
      <c r="BA15" s="1709" t="str">
        <f t="shared" ref="BA15:BA45" si="20">IF(ISERROR(GH55),"",IF(GH55="","",IF(AZ15="P",GH55,GH55-(AZ15*12))))</f>
        <v/>
      </c>
      <c r="BB15" s="1752" t="str">
        <f t="shared" ref="BB15:BB45" si="21">IF(ISBLANK(EF15),"",EF15)</f>
        <v/>
      </c>
      <c r="BC15" s="1753" t="str">
        <f t="shared" si="6"/>
        <v/>
      </c>
      <c r="BD15" s="1714" t="str">
        <f t="shared" ref="BD15:BD45" si="22">IF(ISERROR(GI55),"ERR",IF(GI55="","",IF(ISTEXT(GI55),"P",TRUNC(GI55/12))))</f>
        <v/>
      </c>
      <c r="BE15" s="1709" t="str">
        <f t="shared" ref="BE15:BE45" si="23">IF(ISERROR(GI55),"",IF(GI55="","",IF(BD15="P",GI55,GI55-(BD15*12))))</f>
        <v/>
      </c>
      <c r="BF15" s="1752" t="str">
        <f t="shared" ref="BF15:BF45" si="24">IF(ISBLANK(EJ15),"",EJ15)</f>
        <v/>
      </c>
      <c r="BG15" s="1753" t="str">
        <f t="shared" si="7"/>
        <v/>
      </c>
      <c r="BH15" s="261"/>
      <c r="BJ15" s="143"/>
      <c r="BL15" s="1798"/>
      <c r="BW15" s="991">
        <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IF(AND(AB15="",BW15&gt;0),BX14,IF(ISBLANK(AB15),"",AB15))</f>
        <v>G2</v>
      </c>
      <c r="BY15" s="991" t="b">
        <f t="shared" ref="BY15:BY45" si="26">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si="27">IF(AND(AC15="",BX15=BX14),EX14,CONCATENATE(BX15,AC15))</f>
        <v>G2B</v>
      </c>
      <c r="EY15" s="940" t="b">
        <f t="shared" ca="1" si="8"/>
        <v>1</v>
      </c>
      <c r="EZ15" s="940">
        <f t="shared" ref="EZ15:EZ45" si="28">IF(AB15="","",IF(VLOOKUP(BX15,$A$28:$F$45,6,FALSE)="",0,HLOOKUP(VLOOKUP(BX15,$A$28:$F$45,6,FALSE),$FG$4:$FI$5,2,TRUE)))</f>
        <v>5</v>
      </c>
      <c r="FA15" s="958" t="b">
        <f>IF(FB15="","",IF(FC15=0,FA14,FB15=FF15))</f>
        <v>1</v>
      </c>
      <c r="FB15" s="134">
        <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668</v>
      </c>
      <c r="FC15" s="134">
        <f t="shared" si="9"/>
        <v>72.375</v>
      </c>
      <c r="FD15" s="134">
        <f t="shared" si="10"/>
        <v>523.25</v>
      </c>
      <c r="FE15" s="134">
        <f t="shared" si="11"/>
        <v>72.375</v>
      </c>
      <c r="FF15" s="134">
        <f t="shared" ref="FF15:FF45" si="30">SUM(FC15:FE15)+IF(FE15=0,FF16,0)</f>
        <v>668</v>
      </c>
      <c r="FN15" s="754" t="b">
        <v>0</v>
      </c>
      <c r="FO15" s="754"/>
      <c r="FP15" s="754" t="b">
        <v>0</v>
      </c>
      <c r="FQ15" s="754" t="b">
        <f t="shared" ref="FQ15:FQ45" si="31">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t="s">
        <v>1402</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
        <v>1403</v>
      </c>
      <c r="AC16" s="1710" t="s">
        <v>35</v>
      </c>
      <c r="AD16" s="1705">
        <v>6</v>
      </c>
      <c r="AE16" s="1709">
        <v>0.375</v>
      </c>
      <c r="AF16" s="1710">
        <v>7</v>
      </c>
      <c r="AG16" s="1705">
        <v>6</v>
      </c>
      <c r="AH16" s="1709">
        <v>2.75</v>
      </c>
      <c r="AI16" s="1705">
        <v>6</v>
      </c>
      <c r="AJ16" s="1709">
        <v>0.375</v>
      </c>
      <c r="AK16" s="1747" t="str">
        <f t="shared" si="12"/>
        <v/>
      </c>
      <c r="AL16" s="1748" t="s">
        <v>35</v>
      </c>
      <c r="AM16" s="1749">
        <v>5</v>
      </c>
      <c r="AN16" s="1710">
        <v>13</v>
      </c>
      <c r="AO16" s="1750">
        <v>4</v>
      </c>
      <c r="AP16" s="1712">
        <v>1.75</v>
      </c>
      <c r="AQ16" s="1751">
        <v>1.75</v>
      </c>
      <c r="AR16" s="1708" t="str">
        <f t="shared" si="13"/>
        <v/>
      </c>
      <c r="AS16" s="1709" t="str">
        <f t="shared" si="14"/>
        <v/>
      </c>
      <c r="AT16" s="1752" t="str">
        <f t="shared" si="15"/>
        <v/>
      </c>
      <c r="AU16" s="1753" t="str">
        <f t="shared" si="4"/>
        <v/>
      </c>
      <c r="AV16" s="1714" t="str">
        <f t="shared" si="16"/>
        <v/>
      </c>
      <c r="AW16" s="1709" t="str">
        <f t="shared" si="17"/>
        <v/>
      </c>
      <c r="AX16" s="1752" t="str">
        <f t="shared" si="18"/>
        <v/>
      </c>
      <c r="AY16" s="1753" t="str">
        <f t="shared" si="5"/>
        <v/>
      </c>
      <c r="AZ16" s="1714" t="str">
        <f t="shared" si="19"/>
        <v/>
      </c>
      <c r="BA16" s="1709" t="str">
        <f t="shared" si="20"/>
        <v/>
      </c>
      <c r="BB16" s="1752" t="str">
        <f t="shared" si="21"/>
        <v/>
      </c>
      <c r="BC16" s="1753" t="str">
        <f t="shared" si="6"/>
        <v/>
      </c>
      <c r="BD16" s="1714" t="str">
        <f t="shared" si="22"/>
        <v/>
      </c>
      <c r="BE16" s="1709" t="str">
        <f t="shared" si="23"/>
        <v/>
      </c>
      <c r="BF16" s="1752" t="str">
        <f t="shared" si="24"/>
        <v/>
      </c>
      <c r="BG16" s="1753" t="str">
        <f t="shared" si="7"/>
        <v/>
      </c>
      <c r="BH16" s="261"/>
      <c r="BJ16" s="143"/>
      <c r="BL16" s="1798"/>
      <c r="BW16" s="991">
        <f t="shared" si="25"/>
        <v>15</v>
      </c>
      <c r="BX16" s="991" t="str">
        <f t="shared" ref="BX16:BX45" si="32">IF(AND(AB16="",BW16&gt;0),BX15,IF(ISBLANK(AB16),"",AB16))</f>
        <v>G3</v>
      </c>
      <c r="BY16" s="991" t="b">
        <f t="shared" si="26"/>
        <v>0</v>
      </c>
      <c r="BZ16" s="1303" t="b">
        <f t="shared" ref="BZ16:BZ45" si="33">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si="27"/>
        <v>G3B</v>
      </c>
      <c r="EY16" s="940" t="b">
        <f t="shared" ca="1" si="8"/>
        <v>1</v>
      </c>
      <c r="EZ16" s="940">
        <f t="shared" si="28"/>
        <v>5</v>
      </c>
      <c r="FA16" s="958" t="b">
        <f t="shared" ref="FA16:FA45" si="34">IF(FB16="","",IF(FC16=0,FA15,FB16=FF16))</f>
        <v>1</v>
      </c>
      <c r="FB16" s="134">
        <f t="shared" si="29"/>
        <v>668</v>
      </c>
      <c r="FC16" s="134">
        <f t="shared" si="9"/>
        <v>72.375</v>
      </c>
      <c r="FD16" s="134">
        <f t="shared" si="10"/>
        <v>523.25</v>
      </c>
      <c r="FE16" s="134">
        <f t="shared" si="11"/>
        <v>72.375</v>
      </c>
      <c r="FF16" s="134">
        <f t="shared" si="30"/>
        <v>668</v>
      </c>
      <c r="FN16" s="754" t="b">
        <v>0</v>
      </c>
      <c r="FO16" s="754"/>
      <c r="FP16" s="754" t="b">
        <v>0</v>
      </c>
      <c r="FQ16" s="754" t="b">
        <f t="shared" si="31"/>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t="s">
        <v>1403</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35">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
        <v>1404</v>
      </c>
      <c r="AC17" s="1710" t="s">
        <v>35</v>
      </c>
      <c r="AD17" s="1705">
        <v>6</v>
      </c>
      <c r="AE17" s="1709">
        <v>0.375</v>
      </c>
      <c r="AF17" s="1710">
        <v>7</v>
      </c>
      <c r="AG17" s="1705">
        <v>6</v>
      </c>
      <c r="AH17" s="1709">
        <v>2.75</v>
      </c>
      <c r="AI17" s="1705">
        <v>6</v>
      </c>
      <c r="AJ17" s="1709">
        <v>1.5</v>
      </c>
      <c r="AK17" s="1747" t="str">
        <f t="shared" si="12"/>
        <v/>
      </c>
      <c r="AL17" s="1748" t="s">
        <v>35</v>
      </c>
      <c r="AM17" s="1749">
        <v>5</v>
      </c>
      <c r="AN17" s="1710">
        <v>13</v>
      </c>
      <c r="AO17" s="1750">
        <v>4</v>
      </c>
      <c r="AP17" s="1712">
        <v>1.75</v>
      </c>
      <c r="AQ17" s="1751" t="str">
        <f t="shared" si="3"/>
        <v/>
      </c>
      <c r="AR17" s="1708" t="str">
        <f t="shared" si="13"/>
        <v/>
      </c>
      <c r="AS17" s="1709" t="str">
        <f t="shared" si="14"/>
        <v/>
      </c>
      <c r="AT17" s="1752" t="str">
        <f t="shared" si="15"/>
        <v/>
      </c>
      <c r="AU17" s="1753" t="str">
        <f t="shared" si="4"/>
        <v/>
      </c>
      <c r="AV17" s="1714" t="str">
        <f t="shared" si="16"/>
        <v/>
      </c>
      <c r="AW17" s="1709" t="str">
        <f t="shared" si="17"/>
        <v/>
      </c>
      <c r="AX17" s="1752" t="str">
        <f t="shared" si="18"/>
        <v/>
      </c>
      <c r="AY17" s="1753" t="str">
        <f t="shared" si="5"/>
        <v/>
      </c>
      <c r="AZ17" s="1714" t="str">
        <f t="shared" si="19"/>
        <v/>
      </c>
      <c r="BA17" s="1709" t="str">
        <f t="shared" si="20"/>
        <v/>
      </c>
      <c r="BB17" s="1752" t="str">
        <f t="shared" si="21"/>
        <v/>
      </c>
      <c r="BC17" s="1753" t="str">
        <f t="shared" si="6"/>
        <v/>
      </c>
      <c r="BD17" s="1714" t="str">
        <f t="shared" si="22"/>
        <v/>
      </c>
      <c r="BE17" s="1709" t="str">
        <f t="shared" si="23"/>
        <v/>
      </c>
      <c r="BF17" s="1752" t="str">
        <f t="shared" si="24"/>
        <v/>
      </c>
      <c r="BG17" s="1753" t="str">
        <f t="shared" si="7"/>
        <v/>
      </c>
      <c r="BH17" s="261"/>
      <c r="BJ17" s="143"/>
      <c r="BL17" s="1798"/>
      <c r="BW17" s="991">
        <f t="shared" si="25"/>
        <v>14</v>
      </c>
      <c r="BX17" s="991" t="str">
        <f t="shared" si="32"/>
        <v>G4</v>
      </c>
      <c r="BY17" s="991" t="b">
        <f t="shared" si="26"/>
        <v>0</v>
      </c>
      <c r="BZ17" s="1303" t="b">
        <f t="shared" si="33"/>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si="27"/>
        <v>G4B</v>
      </c>
      <c r="EY17" s="940" t="b">
        <f t="shared" ca="1" si="8"/>
        <v>1</v>
      </c>
      <c r="EZ17" s="940">
        <f t="shared" si="28"/>
        <v>5</v>
      </c>
      <c r="FA17" s="958" t="b">
        <f t="shared" si="34"/>
        <v>1</v>
      </c>
      <c r="FB17" s="134">
        <f t="shared" si="29"/>
        <v>669.125</v>
      </c>
      <c r="FC17" s="134">
        <f t="shared" si="9"/>
        <v>72.375</v>
      </c>
      <c r="FD17" s="134">
        <f t="shared" si="10"/>
        <v>523.25</v>
      </c>
      <c r="FE17" s="134">
        <f t="shared" si="11"/>
        <v>73.5</v>
      </c>
      <c r="FF17" s="134">
        <f t="shared" si="30"/>
        <v>669.125</v>
      </c>
      <c r="FN17" s="754" t="b">
        <v>0</v>
      </c>
      <c r="FO17" s="754"/>
      <c r="FP17" s="754" t="b">
        <v>0</v>
      </c>
      <c r="FQ17" s="754" t="b">
        <f t="shared" si="31"/>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t="s">
        <v>1404</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35"/>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
        <v>1405</v>
      </c>
      <c r="AC18" s="1710" t="s">
        <v>35</v>
      </c>
      <c r="AD18" s="1705">
        <v>6</v>
      </c>
      <c r="AE18" s="1709">
        <v>0.375</v>
      </c>
      <c r="AF18" s="1710">
        <v>7</v>
      </c>
      <c r="AG18" s="1705">
        <v>6</v>
      </c>
      <c r="AH18" s="1709">
        <v>2.75</v>
      </c>
      <c r="AI18" s="1705">
        <v>5</v>
      </c>
      <c r="AJ18" s="1709">
        <v>6.375</v>
      </c>
      <c r="AK18" s="1747" t="str">
        <f t="shared" si="12"/>
        <v/>
      </c>
      <c r="AL18" s="1748" t="s">
        <v>35</v>
      </c>
      <c r="AM18" s="1749">
        <v>5</v>
      </c>
      <c r="AN18" s="1710">
        <v>13</v>
      </c>
      <c r="AO18" s="1750">
        <v>4</v>
      </c>
      <c r="AP18" s="1712">
        <v>1.75</v>
      </c>
      <c r="AQ18" s="1751" t="str">
        <f t="shared" si="3"/>
        <v/>
      </c>
      <c r="AR18" s="1708">
        <v>54</v>
      </c>
      <c r="AS18" s="1709">
        <v>8</v>
      </c>
      <c r="AT18" s="1752">
        <v>16.3</v>
      </c>
      <c r="AU18" s="1753" t="s">
        <v>35</v>
      </c>
      <c r="AV18" s="1714" t="str">
        <f t="shared" si="16"/>
        <v/>
      </c>
      <c r="AW18" s="1709" t="str">
        <f t="shared" si="17"/>
        <v/>
      </c>
      <c r="AX18" s="1752" t="str">
        <f t="shared" si="18"/>
        <v/>
      </c>
      <c r="AY18" s="1753" t="str">
        <f t="shared" si="5"/>
        <v/>
      </c>
      <c r="AZ18" s="1714" t="str">
        <f t="shared" si="19"/>
        <v/>
      </c>
      <c r="BA18" s="1709" t="str">
        <f t="shared" si="20"/>
        <v/>
      </c>
      <c r="BB18" s="1752" t="str">
        <f t="shared" si="21"/>
        <v/>
      </c>
      <c r="BC18" s="1753" t="str">
        <f t="shared" si="6"/>
        <v/>
      </c>
      <c r="BD18" s="1714" t="str">
        <f t="shared" si="22"/>
        <v/>
      </c>
      <c r="BE18" s="1709" t="str">
        <f t="shared" si="23"/>
        <v/>
      </c>
      <c r="BF18" s="1752" t="str">
        <f t="shared" si="24"/>
        <v/>
      </c>
      <c r="BG18" s="1753" t="str">
        <f t="shared" si="7"/>
        <v/>
      </c>
      <c r="BH18" s="261"/>
      <c r="BJ18" s="143"/>
      <c r="BL18" s="1798"/>
      <c r="BW18" s="991">
        <f>IF(AB18="",0,1)+IF(AC18="",0,1)+IF(AD18="",0,1)+IF(AE18="",0,1)+IF(AF18="",0,1)+IF(AG18="",0,1)+IF(AH18="",0,1)+IF(AI18="",0,1)+IF(AJ18="",0,1)+IF(AK18="",0,1)+IF(AL18="",0,1)+IF(AM18="",0,1)+IF(AN18="",0,1)+IF(AO18="",0,1)+IF(AP18="",0,1)+IF(AQ18="",0,1)+IF(AR18="",0,1)+IF(AS18="",0,1)+IF(AT18="",0,1)+IF(AU18="",0,1)+IF(AV18="",0,1)+IF(AW18="",0,1)+IF(AX18="",0,1)+IF(AY18="",0,1)+IF(AZ18="",0,1)+IF(BA18="",0,1)+IF(BB18="",0,1)+IF(BC18="",0,1)+IF(BD18="",0,1)+IF(BE18="",0,1)+IF(BF18="",0,1)+IF(BG18="",0,1)</f>
        <v>18</v>
      </c>
      <c r="BX18" s="991" t="str">
        <f t="shared" si="32"/>
        <v>G5</v>
      </c>
      <c r="BY18" s="991" t="b">
        <f t="shared" si="26"/>
        <v>0</v>
      </c>
      <c r="BZ18" s="1303" t="b">
        <f t="shared" si="33"/>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si="27"/>
        <v>G5B</v>
      </c>
      <c r="EY18" s="940" t="b">
        <f t="shared" ca="1" si="8"/>
        <v>1</v>
      </c>
      <c r="EZ18" s="940">
        <f t="shared" si="28"/>
        <v>5</v>
      </c>
      <c r="FA18" s="958" t="b">
        <f t="shared" si="34"/>
        <v>1</v>
      </c>
      <c r="FB18" s="134">
        <f t="shared" si="29"/>
        <v>662</v>
      </c>
      <c r="FC18" s="134">
        <f t="shared" si="9"/>
        <v>72.375</v>
      </c>
      <c r="FD18" s="134">
        <f t="shared" si="10"/>
        <v>523.25</v>
      </c>
      <c r="FE18" s="134">
        <f t="shared" si="11"/>
        <v>66.375</v>
      </c>
      <c r="FF18" s="134">
        <f t="shared" si="30"/>
        <v>662</v>
      </c>
      <c r="FN18" s="754" t="b">
        <v>0</v>
      </c>
      <c r="FO18" s="754"/>
      <c r="FP18" s="754" t="b">
        <v>0</v>
      </c>
      <c r="FQ18" s="754" t="b">
        <f t="shared" si="31"/>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t="s">
        <v>1405</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16.3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35"/>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
        <v>1406</v>
      </c>
      <c r="AC19" s="1710" t="s">
        <v>35</v>
      </c>
      <c r="AD19" s="1705">
        <v>6</v>
      </c>
      <c r="AE19" s="1709">
        <v>0.375</v>
      </c>
      <c r="AF19" s="1710">
        <v>7</v>
      </c>
      <c r="AG19" s="1705">
        <v>6</v>
      </c>
      <c r="AH19" s="1709">
        <v>2.75</v>
      </c>
      <c r="AI19" s="1705">
        <v>6</v>
      </c>
      <c r="AJ19" s="1709">
        <v>0.375</v>
      </c>
      <c r="AK19" s="1747" t="str">
        <f t="shared" si="12"/>
        <v/>
      </c>
      <c r="AL19" s="1748" t="s">
        <v>35</v>
      </c>
      <c r="AM19" s="1749">
        <v>5</v>
      </c>
      <c r="AN19" s="1710">
        <v>13</v>
      </c>
      <c r="AO19" s="1750">
        <v>4</v>
      </c>
      <c r="AP19" s="1712">
        <v>1.75</v>
      </c>
      <c r="AQ19" s="1751">
        <v>1.75</v>
      </c>
      <c r="AR19" s="1708" t="s">
        <v>1018</v>
      </c>
      <c r="AS19" s="1709" t="s">
        <v>1578</v>
      </c>
      <c r="AT19" s="1752">
        <v>1.1000000000000001</v>
      </c>
      <c r="AU19" s="1753" t="str">
        <f t="shared" si="4"/>
        <v/>
      </c>
      <c r="AV19" s="1714" t="s">
        <v>1018</v>
      </c>
      <c r="AW19" s="1709" t="s">
        <v>1579</v>
      </c>
      <c r="AX19" s="1752">
        <v>1</v>
      </c>
      <c r="AY19" s="1753" t="str">
        <f t="shared" si="5"/>
        <v/>
      </c>
      <c r="AZ19" s="1714" t="s">
        <v>1018</v>
      </c>
      <c r="BA19" s="1709" t="s">
        <v>1580</v>
      </c>
      <c r="BB19" s="1752">
        <v>0.5</v>
      </c>
      <c r="BC19" s="1753" t="str">
        <f t="shared" si="6"/>
        <v/>
      </c>
      <c r="BD19" s="1714" t="s">
        <v>1018</v>
      </c>
      <c r="BE19" s="1709" t="s">
        <v>1581</v>
      </c>
      <c r="BF19" s="1752">
        <v>0.9</v>
      </c>
      <c r="BG19" s="1753" t="str">
        <f t="shared" si="7"/>
        <v/>
      </c>
      <c r="BH19" s="261"/>
      <c r="BJ19" s="143"/>
      <c r="BL19" s="1798"/>
      <c r="BW19" s="991">
        <f t="shared" si="25"/>
        <v>27</v>
      </c>
      <c r="BX19" s="991" t="str">
        <f t="shared" si="32"/>
        <v>G6</v>
      </c>
      <c r="BY19" s="991" t="b">
        <f t="shared" si="26"/>
        <v>0</v>
      </c>
      <c r="BZ19" s="1303" t="b">
        <f t="shared" si="33"/>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si="27"/>
        <v>G6B</v>
      </c>
      <c r="EY19" s="940" t="b">
        <f t="shared" ca="1" si="8"/>
        <v>1</v>
      </c>
      <c r="EZ19" s="940">
        <f t="shared" si="28"/>
        <v>5</v>
      </c>
      <c r="FA19" s="958" t="b">
        <f t="shared" si="34"/>
        <v>1</v>
      </c>
      <c r="FB19" s="134">
        <f t="shared" si="29"/>
        <v>668</v>
      </c>
      <c r="FC19" s="134">
        <f t="shared" si="9"/>
        <v>72.375</v>
      </c>
      <c r="FD19" s="134">
        <f t="shared" si="10"/>
        <v>523.25</v>
      </c>
      <c r="FE19" s="134">
        <f t="shared" si="11"/>
        <v>72.375</v>
      </c>
      <c r="FF19" s="134">
        <f t="shared" si="30"/>
        <v>668</v>
      </c>
      <c r="FN19" s="754" t="b">
        <v>0</v>
      </c>
      <c r="FO19" s="754"/>
      <c r="FP19" s="754" t="b">
        <v>0</v>
      </c>
      <c r="FQ19" s="754" t="b">
        <f t="shared" si="31"/>
        <v>1</v>
      </c>
      <c r="FX19" s="197"/>
      <c r="FZ19" s="2"/>
      <c r="GA19" s="141"/>
      <c r="GB19" s="141"/>
      <c r="GC19" s="141"/>
      <c r="GD19" s="141"/>
      <c r="GE19" s="141"/>
      <c r="GF19" s="141"/>
      <c r="GG19" s="141"/>
      <c r="GH19" s="141"/>
      <c r="GI19" s="141"/>
      <c r="GJ19" s="141"/>
      <c r="GK19" s="2"/>
      <c r="GZ19" s="1165" t="s">
        <v>1157</v>
      </c>
      <c r="HA19" s="1166">
        <v>80</v>
      </c>
      <c r="HB19" s="1166">
        <f t="shared" ref="HB19:ID22" si="36">HA19+1</f>
        <v>81</v>
      </c>
      <c r="HC19" s="1166">
        <f t="shared" si="36"/>
        <v>82</v>
      </c>
      <c r="HD19" s="1166">
        <f t="shared" si="36"/>
        <v>83</v>
      </c>
      <c r="HE19" s="1166">
        <f t="shared" si="36"/>
        <v>84</v>
      </c>
      <c r="HF19" s="1166">
        <f t="shared" si="36"/>
        <v>85</v>
      </c>
      <c r="HG19" s="1166">
        <f t="shared" si="36"/>
        <v>86</v>
      </c>
      <c r="HH19" s="1166">
        <f t="shared" si="36"/>
        <v>87</v>
      </c>
      <c r="HI19" s="1166">
        <f t="shared" si="36"/>
        <v>88</v>
      </c>
      <c r="HJ19" s="1166">
        <f t="shared" si="36"/>
        <v>89</v>
      </c>
      <c r="HK19" s="1166">
        <f t="shared" si="36"/>
        <v>90</v>
      </c>
      <c r="HL19" s="1166">
        <f t="shared" si="36"/>
        <v>91</v>
      </c>
      <c r="HM19" s="1166">
        <f t="shared" si="36"/>
        <v>92</v>
      </c>
      <c r="HN19" s="1166">
        <f t="shared" si="36"/>
        <v>93</v>
      </c>
      <c r="HO19" s="1166">
        <f t="shared" si="36"/>
        <v>94</v>
      </c>
      <c r="HP19" s="1166">
        <f t="shared" si="36"/>
        <v>95</v>
      </c>
      <c r="HQ19" s="1166">
        <f t="shared" si="36"/>
        <v>96</v>
      </c>
      <c r="HR19" s="1166">
        <f t="shared" si="36"/>
        <v>97</v>
      </c>
      <c r="HS19" s="1166">
        <f t="shared" si="36"/>
        <v>98</v>
      </c>
      <c r="HT19" s="1166">
        <f t="shared" si="36"/>
        <v>99</v>
      </c>
      <c r="HU19" s="1166">
        <f t="shared" si="36"/>
        <v>100</v>
      </c>
      <c r="HV19" s="1166">
        <f t="shared" si="36"/>
        <v>101</v>
      </c>
      <c r="HW19" s="1166">
        <f t="shared" si="36"/>
        <v>102</v>
      </c>
      <c r="HX19" s="1166">
        <f t="shared" si="36"/>
        <v>103</v>
      </c>
      <c r="HY19" s="1166">
        <f t="shared" si="36"/>
        <v>104</v>
      </c>
      <c r="HZ19" s="1166">
        <f t="shared" si="36"/>
        <v>105</v>
      </c>
      <c r="IA19" s="1166">
        <f t="shared" si="36"/>
        <v>106</v>
      </c>
      <c r="IB19" s="1166">
        <f t="shared" si="36"/>
        <v>107</v>
      </c>
      <c r="IC19" s="1166">
        <f t="shared" si="36"/>
        <v>108</v>
      </c>
      <c r="ID19" s="1166">
        <f t="shared" si="36"/>
        <v>109</v>
      </c>
      <c r="IE19" s="1241" t="s">
        <v>1406</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1018</v>
      </c>
      <c r="IV19" s="1242" t="s">
        <v>1578</v>
      </c>
      <c r="IW19" s="1243">
        <v>1.1000000000000001</v>
      </c>
      <c r="IX19" s="1244" t="s">
        <v>116</v>
      </c>
      <c r="IY19" s="1242" t="s">
        <v>1018</v>
      </c>
      <c r="IZ19" s="1242" t="s">
        <v>1579</v>
      </c>
      <c r="JA19" s="1243">
        <v>1</v>
      </c>
      <c r="JB19" s="1244" t="s">
        <v>116</v>
      </c>
      <c r="JC19" s="1242" t="s">
        <v>1018</v>
      </c>
      <c r="JD19" s="1242" t="s">
        <v>1580</v>
      </c>
      <c r="JE19" s="1243">
        <v>0.5</v>
      </c>
      <c r="JF19" s="1244" t="s">
        <v>116</v>
      </c>
      <c r="JG19" s="1242" t="s">
        <v>1018</v>
      </c>
      <c r="JH19" s="1242" t="s">
        <v>1581</v>
      </c>
      <c r="JI19" s="1242">
        <v>0.9</v>
      </c>
      <c r="JJ19" s="1245" t="s">
        <v>116</v>
      </c>
      <c r="JK19" s="1242">
        <v>2</v>
      </c>
      <c r="JL19" s="1171">
        <f t="shared" ca="1" si="35"/>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ref="AB20:AB45" si="37">IF(ISBLANK(DH20),"",DH20)</f>
        <v/>
      </c>
      <c r="AC20" s="1710" t="str">
        <f t="shared" ref="AC20:AC45" si="38">IF(ISBLANK(DI20),"",UPPER(DI20))</f>
        <v/>
      </c>
      <c r="AD20" s="1705" t="str">
        <f t="shared" ref="AD20:AD45" ca="1" si="39">IF(ISERROR(FV60),"",IF(FV60="","",TRUNC(FV60/12)))</f>
        <v/>
      </c>
      <c r="AE20" s="1709" t="str">
        <f t="shared" ref="AE20:AE45" ca="1" si="40">IF(ISERROR(FV60),"",IF(FV60="","",FV60-(AD20*12)))</f>
        <v/>
      </c>
      <c r="AF20" s="1710" t="str">
        <f t="shared" ref="AF20:AF45" ca="1" si="41">IF(ISERROR(FO60),"",IF(FO60="","",FO60))</f>
        <v/>
      </c>
      <c r="AG20" s="1705" t="str">
        <f t="shared" ref="AG20:AG45" ca="1" si="42">IF(ISERROR(FX60),"",IF(FX60="","",TRUNC(FX60/12)))</f>
        <v/>
      </c>
      <c r="AH20" s="1709" t="str">
        <f t="shared" ref="AH20:AH45" ca="1" si="43">IF(ISERROR(FX60),"",IF(FX60="","",FX60-(AG20*12)))</f>
        <v/>
      </c>
      <c r="AI20" s="1705" t="str">
        <f t="shared" ref="AI20:AI45" ca="1" si="44">IF(ISERROR(FZ60),"",IF(FZ60="","",TRUNC(FZ60/12)))</f>
        <v/>
      </c>
      <c r="AJ20" s="1709" t="str">
        <f t="shared" ref="AJ20:AJ45" ca="1" si="45">IF(ISERROR(FZ60),"",IF(FZ60="","",FZ60-(AI20*12)))</f>
        <v/>
      </c>
      <c r="AK20" s="1747" t="str">
        <f t="shared" si="12"/>
        <v/>
      </c>
      <c r="AL20" s="1748" t="str">
        <f t="shared" ref="AL20:AL45" si="46">IF(ISBLANK(DP20),"",UPPER(DP20))</f>
        <v/>
      </c>
      <c r="AM20" s="1749" t="str">
        <f t="shared" ref="AM20:AO26" si="47">IF(ISBLANK(DQ20),"",DQ20)</f>
        <v/>
      </c>
      <c r="AN20" s="1710" t="str">
        <f t="shared" si="47"/>
        <v/>
      </c>
      <c r="AO20" s="1750" t="str">
        <f t="shared" si="47"/>
        <v/>
      </c>
      <c r="AP20" s="1712" t="str">
        <f t="shared" si="3"/>
        <v/>
      </c>
      <c r="AQ20" s="1751" t="str">
        <f t="shared" si="3"/>
        <v/>
      </c>
      <c r="AR20" s="1708" t="s">
        <v>1018</v>
      </c>
      <c r="AS20" s="1709" t="s">
        <v>1582</v>
      </c>
      <c r="AT20" s="1752">
        <v>0.9</v>
      </c>
      <c r="AU20" s="1753" t="str">
        <f t="shared" si="4"/>
        <v/>
      </c>
      <c r="AV20" s="1714" t="s">
        <v>1018</v>
      </c>
      <c r="AW20" s="1709" t="s">
        <v>1583</v>
      </c>
      <c r="AX20" s="1752">
        <v>0.6</v>
      </c>
      <c r="AY20" s="1753" t="str">
        <f t="shared" si="5"/>
        <v/>
      </c>
      <c r="AZ20" s="1714" t="s">
        <v>1018</v>
      </c>
      <c r="BA20" s="1709" t="s">
        <v>1584</v>
      </c>
      <c r="BB20" s="1752">
        <v>0.6</v>
      </c>
      <c r="BC20" s="1753" t="str">
        <f t="shared" si="6"/>
        <v/>
      </c>
      <c r="BD20" s="1714" t="str">
        <f t="shared" si="22"/>
        <v/>
      </c>
      <c r="BE20" s="1709" t="str">
        <f t="shared" si="23"/>
        <v/>
      </c>
      <c r="BF20" s="1752" t="str">
        <f t="shared" si="24"/>
        <v/>
      </c>
      <c r="BG20" s="1753" t="str">
        <f t="shared" si="7"/>
        <v/>
      </c>
      <c r="BH20" s="261"/>
      <c r="BJ20" s="143"/>
      <c r="BL20" s="1798"/>
      <c r="BW20" s="991">
        <f t="shared" ca="1" si="25"/>
        <v>9</v>
      </c>
      <c r="BX20" s="991" t="str">
        <f t="shared" ca="1" si="32"/>
        <v>G6</v>
      </c>
      <c r="BY20" s="991" t="b">
        <f t="shared" ca="1" si="26"/>
        <v>0</v>
      </c>
      <c r="BZ20" s="1303" t="b">
        <f t="shared" si="33"/>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27"/>
        <v>G6B</v>
      </c>
      <c r="EY20" s="940" t="str">
        <f t="shared" si="8"/>
        <v/>
      </c>
      <c r="EZ20" s="940" t="str">
        <f t="shared" si="28"/>
        <v/>
      </c>
      <c r="FA20" s="958" t="b">
        <f t="shared" ca="1" si="34"/>
        <v>1</v>
      </c>
      <c r="FB20" s="134">
        <f t="shared" ca="1" si="29"/>
        <v>668</v>
      </c>
      <c r="FC20" s="134">
        <f t="shared" ca="1" si="9"/>
        <v>0</v>
      </c>
      <c r="FD20" s="134">
        <f t="shared" ca="1" si="10"/>
        <v>0</v>
      </c>
      <c r="FE20" s="134">
        <f t="shared" ca="1" si="11"/>
        <v>0</v>
      </c>
      <c r="FF20" s="134">
        <f t="shared" ca="1" si="30"/>
        <v>664</v>
      </c>
      <c r="FN20" s="754" t="b">
        <v>0</v>
      </c>
      <c r="FO20" s="754"/>
      <c r="FP20" s="754" t="b">
        <v>0</v>
      </c>
      <c r="FQ20" s="754" t="b">
        <f t="shared" si="31"/>
        <v>1</v>
      </c>
      <c r="FX20" s="197"/>
      <c r="FZ20" s="2"/>
      <c r="GA20" s="141"/>
      <c r="GB20" s="141"/>
      <c r="GC20" s="141"/>
      <c r="GD20" s="141"/>
      <c r="GE20" s="141"/>
      <c r="GF20" s="141"/>
      <c r="GG20" s="141"/>
      <c r="GH20" s="141"/>
      <c r="GI20" s="141"/>
      <c r="GJ20" s="141"/>
      <c r="GK20" s="2"/>
      <c r="GZ20" s="1165" t="s">
        <v>1133</v>
      </c>
      <c r="HA20" s="1166">
        <v>1</v>
      </c>
      <c r="HB20" s="1166">
        <f t="shared" si="36"/>
        <v>2</v>
      </c>
      <c r="HC20" s="1166">
        <f t="shared" si="36"/>
        <v>3</v>
      </c>
      <c r="HD20" s="1166">
        <f t="shared" si="36"/>
        <v>4</v>
      </c>
      <c r="HE20" s="1166">
        <f t="shared" si="36"/>
        <v>5</v>
      </c>
      <c r="HF20" s="1166">
        <f t="shared" si="36"/>
        <v>6</v>
      </c>
      <c r="HG20" s="1166">
        <f t="shared" si="36"/>
        <v>7</v>
      </c>
      <c r="HH20" s="1166">
        <f t="shared" si="36"/>
        <v>8</v>
      </c>
      <c r="HI20" s="1166">
        <f t="shared" si="36"/>
        <v>9</v>
      </c>
      <c r="HJ20" s="1166">
        <f t="shared" si="36"/>
        <v>10</v>
      </c>
      <c r="HK20" s="1166">
        <f t="shared" si="36"/>
        <v>11</v>
      </c>
      <c r="HL20" s="1166">
        <f t="shared" si="36"/>
        <v>12</v>
      </c>
      <c r="HM20" s="1166">
        <f t="shared" si="36"/>
        <v>13</v>
      </c>
      <c r="HN20" s="1166">
        <f t="shared" si="36"/>
        <v>14</v>
      </c>
      <c r="HO20" s="1166">
        <f t="shared" si="36"/>
        <v>15</v>
      </c>
      <c r="HP20" s="1166">
        <f t="shared" si="36"/>
        <v>16</v>
      </c>
      <c r="HQ20" s="1166">
        <f t="shared" si="36"/>
        <v>17</v>
      </c>
      <c r="HR20" s="1166">
        <f t="shared" si="36"/>
        <v>18</v>
      </c>
      <c r="HS20" s="1166">
        <f t="shared" si="36"/>
        <v>19</v>
      </c>
      <c r="HT20" s="1166">
        <f t="shared" si="36"/>
        <v>20</v>
      </c>
      <c r="HU20" s="1166">
        <f t="shared" si="36"/>
        <v>21</v>
      </c>
      <c r="HV20" s="1166">
        <f t="shared" si="36"/>
        <v>22</v>
      </c>
      <c r="HW20" s="1166">
        <f t="shared" si="36"/>
        <v>23</v>
      </c>
      <c r="HX20" s="1166">
        <f t="shared" si="36"/>
        <v>24</v>
      </c>
      <c r="HY20" s="1166">
        <f t="shared" si="36"/>
        <v>25</v>
      </c>
      <c r="HZ20" s="1166">
        <f t="shared" si="36"/>
        <v>26</v>
      </c>
      <c r="IA20" s="1167" t="s">
        <v>1167</v>
      </c>
      <c r="IB20" s="1166">
        <v>27</v>
      </c>
      <c r="IC20" s="1166"/>
      <c r="ID20" s="1166"/>
      <c r="IE20" s="1241" t="s">
        <v>116</v>
      </c>
      <c r="IF20" s="1242" t="s">
        <v>116</v>
      </c>
      <c r="IG20" s="1243" t="s">
        <v>116</v>
      </c>
      <c r="IH20" s="1244" t="s">
        <v>116</v>
      </c>
      <c r="II20" s="1242" t="s">
        <v>116</v>
      </c>
      <c r="IJ20" s="1243" t="s">
        <v>116</v>
      </c>
      <c r="IK20" s="1244" t="s">
        <v>116</v>
      </c>
      <c r="IL20" s="1242" t="s">
        <v>116</v>
      </c>
      <c r="IM20" s="1242" t="s">
        <v>116</v>
      </c>
      <c r="IN20" s="1242" t="s">
        <v>116</v>
      </c>
      <c r="IO20" s="1242" t="s">
        <v>116</v>
      </c>
      <c r="IP20" s="1242" t="s">
        <v>116</v>
      </c>
      <c r="IQ20" s="1242" t="s">
        <v>116</v>
      </c>
      <c r="IR20" s="1242" t="s">
        <v>116</v>
      </c>
      <c r="IS20" s="1243" t="s">
        <v>116</v>
      </c>
      <c r="IT20" s="1244" t="s">
        <v>116</v>
      </c>
      <c r="IU20" s="1242" t="s">
        <v>1018</v>
      </c>
      <c r="IV20" s="1242" t="s">
        <v>1582</v>
      </c>
      <c r="IW20" s="1243">
        <v>0.9</v>
      </c>
      <c r="IX20" s="1244" t="s">
        <v>116</v>
      </c>
      <c r="IY20" s="1242" t="s">
        <v>1018</v>
      </c>
      <c r="IZ20" s="1242" t="s">
        <v>1583</v>
      </c>
      <c r="JA20" s="1243">
        <v>0.6</v>
      </c>
      <c r="JB20" s="1244" t="s">
        <v>116</v>
      </c>
      <c r="JC20" s="1242" t="s">
        <v>1018</v>
      </c>
      <c r="JD20" s="1242" t="s">
        <v>1584</v>
      </c>
      <c r="JE20" s="1243">
        <v>0.6</v>
      </c>
      <c r="JF20" s="1244" t="s">
        <v>116</v>
      </c>
      <c r="JG20" s="1242" t="s">
        <v>116</v>
      </c>
      <c r="JH20" s="1242" t="s">
        <v>116</v>
      </c>
      <c r="JI20" s="1242" t="s">
        <v>116</v>
      </c>
      <c r="JJ20" s="1245" t="s">
        <v>116</v>
      </c>
      <c r="JK20" s="1242"/>
      <c r="JL20" s="1171">
        <f t="shared" ca="1" si="35"/>
        <v>2</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
        <v>1407</v>
      </c>
      <c r="AC21" s="1710" t="s">
        <v>35</v>
      </c>
      <c r="AD21" s="1705">
        <v>6</v>
      </c>
      <c r="AE21" s="1709">
        <v>0.375</v>
      </c>
      <c r="AF21" s="1710">
        <v>7</v>
      </c>
      <c r="AG21" s="1705">
        <v>6</v>
      </c>
      <c r="AH21" s="1709">
        <v>2.75</v>
      </c>
      <c r="AI21" s="1705">
        <v>5</v>
      </c>
      <c r="AJ21" s="1709">
        <v>8.375</v>
      </c>
      <c r="AK21" s="1747" t="str">
        <f t="shared" si="12"/>
        <v/>
      </c>
      <c r="AL21" s="1748" t="s">
        <v>35</v>
      </c>
      <c r="AM21" s="1749">
        <v>5</v>
      </c>
      <c r="AN21" s="1710">
        <v>13</v>
      </c>
      <c r="AO21" s="1750">
        <v>4</v>
      </c>
      <c r="AP21" s="1712">
        <v>1.75</v>
      </c>
      <c r="AQ21" s="1751" t="str">
        <f t="shared" si="3"/>
        <v/>
      </c>
      <c r="AR21" s="1708" t="str">
        <f t="shared" si="13"/>
        <v/>
      </c>
      <c r="AS21" s="1709" t="str">
        <f t="shared" si="14"/>
        <v/>
      </c>
      <c r="AT21" s="1752" t="str">
        <f t="shared" si="15"/>
        <v/>
      </c>
      <c r="AU21" s="1753" t="str">
        <f t="shared" si="4"/>
        <v/>
      </c>
      <c r="AV21" s="1714" t="str">
        <f t="shared" si="16"/>
        <v/>
      </c>
      <c r="AW21" s="1709" t="str">
        <f t="shared" si="17"/>
        <v/>
      </c>
      <c r="AX21" s="1752" t="str">
        <f t="shared" si="18"/>
        <v/>
      </c>
      <c r="AY21" s="1753" t="str">
        <f t="shared" si="5"/>
        <v/>
      </c>
      <c r="AZ21" s="1714" t="str">
        <f t="shared" si="19"/>
        <v/>
      </c>
      <c r="BA21" s="1709" t="str">
        <f t="shared" si="20"/>
        <v/>
      </c>
      <c r="BB21" s="1752" t="str">
        <f t="shared" si="21"/>
        <v/>
      </c>
      <c r="BC21" s="1753" t="str">
        <f t="shared" si="6"/>
        <v/>
      </c>
      <c r="BD21" s="1714" t="str">
        <f t="shared" si="22"/>
        <v/>
      </c>
      <c r="BE21" s="1709" t="str">
        <f t="shared" si="23"/>
        <v/>
      </c>
      <c r="BF21" s="1752" t="str">
        <f t="shared" si="24"/>
        <v/>
      </c>
      <c r="BG21" s="1753" t="str">
        <f t="shared" si="7"/>
        <v/>
      </c>
      <c r="BH21" s="261"/>
      <c r="BJ21" s="143"/>
      <c r="BL21" s="1798"/>
      <c r="BW21" s="991">
        <f t="shared" si="25"/>
        <v>14</v>
      </c>
      <c r="BX21" s="991" t="str">
        <f t="shared" si="32"/>
        <v>G7</v>
      </c>
      <c r="BY21" s="991" t="b">
        <f t="shared" si="26"/>
        <v>0</v>
      </c>
      <c r="BZ21" s="1303" t="b">
        <f t="shared" si="33"/>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27"/>
        <v>G7B</v>
      </c>
      <c r="EY21" s="940" t="b">
        <f t="shared" ca="1" si="8"/>
        <v>1</v>
      </c>
      <c r="EZ21" s="940">
        <f t="shared" si="28"/>
        <v>5</v>
      </c>
      <c r="FA21" s="958" t="b">
        <f t="shared" si="34"/>
        <v>1</v>
      </c>
      <c r="FB21" s="134">
        <f t="shared" si="29"/>
        <v>664</v>
      </c>
      <c r="FC21" s="134">
        <f t="shared" si="9"/>
        <v>72.375</v>
      </c>
      <c r="FD21" s="134">
        <f t="shared" si="10"/>
        <v>523.25</v>
      </c>
      <c r="FE21" s="134">
        <f t="shared" si="11"/>
        <v>68.375</v>
      </c>
      <c r="FF21" s="134">
        <f t="shared" si="30"/>
        <v>664</v>
      </c>
      <c r="FN21" s="754" t="b">
        <v>0</v>
      </c>
      <c r="FO21" s="754"/>
      <c r="FP21" s="754" t="b">
        <v>0</v>
      </c>
      <c r="FQ21" s="754" t="b">
        <f t="shared" si="31"/>
        <v>1</v>
      </c>
      <c r="FX21" s="756"/>
      <c r="FZ21" s="23"/>
      <c r="GA21" s="141"/>
      <c r="GB21" s="141"/>
      <c r="GC21" s="141"/>
      <c r="GD21" s="141"/>
      <c r="GE21" s="141"/>
      <c r="GF21" s="141"/>
      <c r="GG21" s="141"/>
      <c r="GH21" s="141"/>
      <c r="GI21" s="141"/>
      <c r="GJ21" s="141"/>
      <c r="GK21" s="23"/>
      <c r="GZ21" s="1165" t="s">
        <v>1156</v>
      </c>
      <c r="HA21" s="1166">
        <v>1</v>
      </c>
      <c r="HB21" s="1166">
        <f>HA21+1</f>
        <v>2</v>
      </c>
      <c r="HC21" s="1166">
        <f t="shared" si="36"/>
        <v>3</v>
      </c>
      <c r="HD21" s="1166">
        <f t="shared" si="36"/>
        <v>4</v>
      </c>
      <c r="HE21" s="1166">
        <f t="shared" si="36"/>
        <v>5</v>
      </c>
      <c r="HF21" s="1166">
        <f t="shared" si="36"/>
        <v>6</v>
      </c>
      <c r="HG21" s="1166">
        <f t="shared" si="36"/>
        <v>7</v>
      </c>
      <c r="HH21" s="1166">
        <f t="shared" si="36"/>
        <v>8</v>
      </c>
      <c r="HI21" s="1166">
        <f t="shared" si="36"/>
        <v>9</v>
      </c>
      <c r="HJ21" s="1166">
        <f t="shared" si="36"/>
        <v>10</v>
      </c>
      <c r="HK21" s="1166">
        <f t="shared" si="36"/>
        <v>11</v>
      </c>
      <c r="HL21" s="1166">
        <f t="shared" si="36"/>
        <v>12</v>
      </c>
      <c r="HM21" s="1166">
        <f t="shared" si="36"/>
        <v>13</v>
      </c>
      <c r="HN21" s="1166">
        <f t="shared" si="36"/>
        <v>14</v>
      </c>
      <c r="HO21" s="1166">
        <f t="shared" si="36"/>
        <v>15</v>
      </c>
      <c r="HP21" s="1166">
        <f t="shared" si="36"/>
        <v>16</v>
      </c>
      <c r="HQ21" s="1166">
        <f t="shared" si="36"/>
        <v>17</v>
      </c>
      <c r="HR21" s="1166">
        <f t="shared" si="36"/>
        <v>18</v>
      </c>
      <c r="HS21" s="1166">
        <f t="shared" si="36"/>
        <v>19</v>
      </c>
      <c r="HT21" s="1166">
        <f t="shared" si="36"/>
        <v>20</v>
      </c>
      <c r="HU21" s="1166">
        <f t="shared" si="36"/>
        <v>21</v>
      </c>
      <c r="HV21" s="1166">
        <f t="shared" si="36"/>
        <v>22</v>
      </c>
      <c r="HW21" s="1166">
        <f t="shared" si="36"/>
        <v>23</v>
      </c>
      <c r="HX21" s="1166">
        <f t="shared" si="36"/>
        <v>24</v>
      </c>
      <c r="HY21" s="1166">
        <f t="shared" si="36"/>
        <v>25</v>
      </c>
      <c r="HZ21" s="1166">
        <f t="shared" si="36"/>
        <v>26</v>
      </c>
      <c r="IA21" s="1168">
        <f t="shared" si="36"/>
        <v>27</v>
      </c>
      <c r="IB21" s="1168">
        <f t="shared" si="36"/>
        <v>28</v>
      </c>
      <c r="IC21" s="1168">
        <f t="shared" si="36"/>
        <v>29</v>
      </c>
      <c r="ID21" s="1168">
        <f t="shared" si="36"/>
        <v>30</v>
      </c>
      <c r="IE21" s="1241" t="s">
        <v>1407</v>
      </c>
      <c r="IF21" s="1242" t="s">
        <v>35</v>
      </c>
      <c r="IG21" s="1243">
        <v>6</v>
      </c>
      <c r="IH21" s="1244">
        <v>0.375</v>
      </c>
      <c r="II21" s="1242">
        <v>7</v>
      </c>
      <c r="IJ21" s="1243">
        <v>6</v>
      </c>
      <c r="IK21" s="1244">
        <v>2.75</v>
      </c>
      <c r="IL21" s="1242">
        <v>5</v>
      </c>
      <c r="IM21" s="1242">
        <v>8.375</v>
      </c>
      <c r="IN21" s="1242" t="s">
        <v>116</v>
      </c>
      <c r="IO21" s="1242" t="s">
        <v>35</v>
      </c>
      <c r="IP21" s="1242">
        <v>5</v>
      </c>
      <c r="IQ21" s="1242">
        <v>13</v>
      </c>
      <c r="IR21" s="1242">
        <v>4</v>
      </c>
      <c r="IS21" s="1243">
        <v>1.75</v>
      </c>
      <c r="IT21" s="1244" t="s">
        <v>116</v>
      </c>
      <c r="IU21" s="1242" t="s">
        <v>116</v>
      </c>
      <c r="IV21" s="1242" t="s">
        <v>116</v>
      </c>
      <c r="IW21" s="1243" t="s">
        <v>116</v>
      </c>
      <c r="IX21" s="1244" t="s">
        <v>116</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35"/>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
        <v>1408</v>
      </c>
      <c r="AC22" s="1710" t="s">
        <v>35</v>
      </c>
      <c r="AD22" s="1705">
        <v>6</v>
      </c>
      <c r="AE22" s="1709">
        <v>0.375</v>
      </c>
      <c r="AF22" s="1710">
        <v>7</v>
      </c>
      <c r="AG22" s="1705">
        <v>6</v>
      </c>
      <c r="AH22" s="1709">
        <v>2.75</v>
      </c>
      <c r="AI22" s="1705">
        <v>6</v>
      </c>
      <c r="AJ22" s="1709">
        <v>0.375</v>
      </c>
      <c r="AK22" s="1747" t="str">
        <f t="shared" si="12"/>
        <v/>
      </c>
      <c r="AL22" s="1748" t="s">
        <v>35</v>
      </c>
      <c r="AM22" s="1749">
        <v>5</v>
      </c>
      <c r="AN22" s="1710">
        <v>13</v>
      </c>
      <c r="AO22" s="1750">
        <v>4</v>
      </c>
      <c r="AP22" s="1712">
        <v>1.75</v>
      </c>
      <c r="AQ22" s="1751">
        <v>1.75</v>
      </c>
      <c r="AR22" s="1708" t="str">
        <f t="shared" si="13"/>
        <v/>
      </c>
      <c r="AS22" s="1709" t="str">
        <f t="shared" si="14"/>
        <v/>
      </c>
      <c r="AT22" s="1752" t="str">
        <f t="shared" si="15"/>
        <v/>
      </c>
      <c r="AU22" s="1753" t="str">
        <f t="shared" si="4"/>
        <v/>
      </c>
      <c r="AV22" s="1714" t="str">
        <f t="shared" si="16"/>
        <v/>
      </c>
      <c r="AW22" s="1709" t="str">
        <f t="shared" si="17"/>
        <v/>
      </c>
      <c r="AX22" s="1752" t="str">
        <f t="shared" si="18"/>
        <v/>
      </c>
      <c r="AY22" s="1753" t="str">
        <f t="shared" si="5"/>
        <v/>
      </c>
      <c r="AZ22" s="1714" t="str">
        <f t="shared" si="19"/>
        <v/>
      </c>
      <c r="BA22" s="1709" t="str">
        <f t="shared" si="20"/>
        <v/>
      </c>
      <c r="BB22" s="1752" t="str">
        <f t="shared" si="21"/>
        <v/>
      </c>
      <c r="BC22" s="1753" t="str">
        <f t="shared" si="6"/>
        <v/>
      </c>
      <c r="BD22" s="1714" t="str">
        <f t="shared" si="22"/>
        <v/>
      </c>
      <c r="BE22" s="1709" t="str">
        <f t="shared" si="23"/>
        <v/>
      </c>
      <c r="BF22" s="1752" t="str">
        <f t="shared" si="24"/>
        <v/>
      </c>
      <c r="BG22" s="1753" t="str">
        <f t="shared" si="7"/>
        <v/>
      </c>
      <c r="BH22" s="261"/>
      <c r="BJ22" s="143"/>
      <c r="BL22" s="1798"/>
      <c r="BW22" s="991">
        <f t="shared" si="25"/>
        <v>15</v>
      </c>
      <c r="BX22" s="991" t="str">
        <f t="shared" si="32"/>
        <v>G8</v>
      </c>
      <c r="BY22" s="991" t="b">
        <f t="shared" si="26"/>
        <v>0</v>
      </c>
      <c r="BZ22" s="1303" t="b">
        <f t="shared" si="33"/>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si="27"/>
        <v>G8B</v>
      </c>
      <c r="EY22" s="940" t="b">
        <f t="shared" ca="1" si="8"/>
        <v>1</v>
      </c>
      <c r="EZ22" s="940">
        <f t="shared" si="28"/>
        <v>5</v>
      </c>
      <c r="FA22" s="958" t="b">
        <f t="shared" si="34"/>
        <v>1</v>
      </c>
      <c r="FB22" s="134">
        <f t="shared" si="29"/>
        <v>668</v>
      </c>
      <c r="FC22" s="134">
        <f t="shared" si="9"/>
        <v>72.375</v>
      </c>
      <c r="FD22" s="134">
        <f t="shared" si="10"/>
        <v>523.25</v>
      </c>
      <c r="FE22" s="134">
        <f t="shared" si="11"/>
        <v>72.375</v>
      </c>
      <c r="FF22" s="134">
        <f t="shared" si="30"/>
        <v>668</v>
      </c>
      <c r="FN22" s="754" t="b">
        <v>0</v>
      </c>
      <c r="FO22" s="754"/>
      <c r="FP22" s="754" t="b">
        <v>0</v>
      </c>
      <c r="FQ22" s="754" t="b">
        <f t="shared" si="31"/>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36"/>
        <v>4</v>
      </c>
      <c r="HE22" s="1166">
        <f t="shared" si="36"/>
        <v>5</v>
      </c>
      <c r="HF22" s="1166">
        <f t="shared" si="36"/>
        <v>6</v>
      </c>
      <c r="HG22" s="1166">
        <f t="shared" si="36"/>
        <v>7</v>
      </c>
      <c r="HH22" s="1166">
        <f t="shared" si="36"/>
        <v>8</v>
      </c>
      <c r="HI22" s="1166">
        <f t="shared" si="36"/>
        <v>9</v>
      </c>
      <c r="HJ22" s="1166">
        <f t="shared" si="36"/>
        <v>10</v>
      </c>
      <c r="HK22" s="1166">
        <f t="shared" si="36"/>
        <v>11</v>
      </c>
      <c r="HL22" s="1166">
        <f t="shared" si="36"/>
        <v>12</v>
      </c>
      <c r="HM22" s="1166">
        <f t="shared" si="36"/>
        <v>13</v>
      </c>
      <c r="HN22" s="1166">
        <f t="shared" si="36"/>
        <v>14</v>
      </c>
      <c r="HO22" s="1166">
        <f t="shared" si="36"/>
        <v>15</v>
      </c>
      <c r="HP22" s="1166">
        <f t="shared" si="36"/>
        <v>16</v>
      </c>
      <c r="HQ22" s="1166">
        <f t="shared" si="36"/>
        <v>17</v>
      </c>
      <c r="HR22" s="1166">
        <f t="shared" si="36"/>
        <v>18</v>
      </c>
      <c r="HS22" s="1166">
        <f t="shared" si="36"/>
        <v>19</v>
      </c>
      <c r="HT22" s="1166">
        <f t="shared" si="36"/>
        <v>20</v>
      </c>
      <c r="HU22" s="1166">
        <f t="shared" si="36"/>
        <v>21</v>
      </c>
      <c r="HV22" s="1166">
        <f t="shared" si="36"/>
        <v>22</v>
      </c>
      <c r="HW22" s="1166">
        <f t="shared" si="36"/>
        <v>23</v>
      </c>
      <c r="HX22" s="1166">
        <f t="shared" si="36"/>
        <v>24</v>
      </c>
      <c r="HY22" s="1166">
        <f>HX22+1</f>
        <v>25</v>
      </c>
      <c r="HZ22" s="1166">
        <f>HY22+1</f>
        <v>26</v>
      </c>
      <c r="IA22" s="1166">
        <f>HZ22+1</f>
        <v>27</v>
      </c>
      <c r="IB22" s="1166">
        <f>IA22+1</f>
        <v>28</v>
      </c>
      <c r="IC22" s="1166"/>
      <c r="ID22" s="1166"/>
      <c r="IE22" s="1241" t="s">
        <v>1408</v>
      </c>
      <c r="IF22" s="1242" t="s">
        <v>35</v>
      </c>
      <c r="IG22" s="1243">
        <v>6</v>
      </c>
      <c r="IH22" s="1244">
        <v>0.375</v>
      </c>
      <c r="II22" s="1242">
        <v>7</v>
      </c>
      <c r="IJ22" s="1243">
        <v>6</v>
      </c>
      <c r="IK22" s="1244">
        <v>2.75</v>
      </c>
      <c r="IL22" s="1242">
        <v>6</v>
      </c>
      <c r="IM22" s="1242">
        <v>0.375</v>
      </c>
      <c r="IN22" s="1242" t="s">
        <v>116</v>
      </c>
      <c r="IO22" s="1242" t="s">
        <v>35</v>
      </c>
      <c r="IP22" s="1242">
        <v>5</v>
      </c>
      <c r="IQ22" s="1242">
        <v>13</v>
      </c>
      <c r="IR22" s="1242">
        <v>4</v>
      </c>
      <c r="IS22" s="1243">
        <v>1.75</v>
      </c>
      <c r="IT22" s="1244">
        <v>1.75</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35"/>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
        <v>1409</v>
      </c>
      <c r="AC23" s="1710" t="s">
        <v>35</v>
      </c>
      <c r="AD23" s="1705">
        <v>6</v>
      </c>
      <c r="AE23" s="1709">
        <v>0.375</v>
      </c>
      <c r="AF23" s="1710">
        <v>7</v>
      </c>
      <c r="AG23" s="1705">
        <v>6</v>
      </c>
      <c r="AH23" s="1709">
        <v>2.75</v>
      </c>
      <c r="AI23" s="1705">
        <v>6</v>
      </c>
      <c r="AJ23" s="1709">
        <v>1.5</v>
      </c>
      <c r="AK23" s="1747" t="str">
        <f t="shared" si="12"/>
        <v/>
      </c>
      <c r="AL23" s="1748" t="s">
        <v>35</v>
      </c>
      <c r="AM23" s="1749">
        <v>5</v>
      </c>
      <c r="AN23" s="1710">
        <v>13</v>
      </c>
      <c r="AO23" s="1750">
        <v>4</v>
      </c>
      <c r="AP23" s="1712">
        <v>1.75</v>
      </c>
      <c r="AQ23" s="1751" t="str">
        <f t="shared" si="3"/>
        <v/>
      </c>
      <c r="AR23" s="1708" t="str">
        <f t="shared" si="13"/>
        <v/>
      </c>
      <c r="AS23" s="1709" t="str">
        <f t="shared" si="14"/>
        <v/>
      </c>
      <c r="AT23" s="1752" t="str">
        <f t="shared" si="15"/>
        <v/>
      </c>
      <c r="AU23" s="1753" t="str">
        <f t="shared" si="4"/>
        <v/>
      </c>
      <c r="AV23" s="1714" t="str">
        <f t="shared" si="16"/>
        <v/>
      </c>
      <c r="AW23" s="1709" t="str">
        <f t="shared" si="17"/>
        <v/>
      </c>
      <c r="AX23" s="1752" t="str">
        <f t="shared" si="18"/>
        <v/>
      </c>
      <c r="AY23" s="1753" t="str">
        <f t="shared" si="5"/>
        <v/>
      </c>
      <c r="AZ23" s="1714" t="str">
        <f t="shared" si="19"/>
        <v/>
      </c>
      <c r="BA23" s="1709" t="str">
        <f t="shared" si="20"/>
        <v/>
      </c>
      <c r="BB23" s="1752" t="str">
        <f t="shared" si="21"/>
        <v/>
      </c>
      <c r="BC23" s="1753" t="str">
        <f t="shared" si="6"/>
        <v/>
      </c>
      <c r="BD23" s="1714" t="str">
        <f t="shared" si="22"/>
        <v/>
      </c>
      <c r="BE23" s="1709" t="str">
        <f t="shared" si="23"/>
        <v/>
      </c>
      <c r="BF23" s="1752" t="str">
        <f t="shared" si="24"/>
        <v/>
      </c>
      <c r="BG23" s="1753" t="str">
        <f t="shared" si="7"/>
        <v/>
      </c>
      <c r="BH23" s="261"/>
      <c r="BJ23" s="143"/>
      <c r="BL23" s="1798"/>
      <c r="BW23" s="991">
        <f t="shared" si="25"/>
        <v>14</v>
      </c>
      <c r="BX23" s="991" t="str">
        <f t="shared" si="32"/>
        <v>G9</v>
      </c>
      <c r="BY23" s="991" t="b">
        <f t="shared" si="26"/>
        <v>0</v>
      </c>
      <c r="BZ23" s="1303" t="b">
        <f t="shared" si="33"/>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si="27"/>
        <v>G9B</v>
      </c>
      <c r="EY23" s="940" t="b">
        <f t="shared" ca="1" si="8"/>
        <v>1</v>
      </c>
      <c r="EZ23" s="940">
        <f t="shared" si="28"/>
        <v>5</v>
      </c>
      <c r="FA23" s="958" t="b">
        <f t="shared" si="34"/>
        <v>1</v>
      </c>
      <c r="FB23" s="134">
        <f t="shared" si="29"/>
        <v>669.125</v>
      </c>
      <c r="FC23" s="134">
        <f t="shared" si="9"/>
        <v>72.375</v>
      </c>
      <c r="FD23" s="134">
        <f t="shared" si="10"/>
        <v>523.25</v>
      </c>
      <c r="FE23" s="134">
        <f t="shared" si="11"/>
        <v>73.5</v>
      </c>
      <c r="FF23" s="134">
        <f t="shared" si="30"/>
        <v>669.125</v>
      </c>
      <c r="FN23" s="754" t="b">
        <v>0</v>
      </c>
      <c r="FO23" s="754"/>
      <c r="FP23" s="754" t="b">
        <v>0</v>
      </c>
      <c r="FQ23" s="754" t="b">
        <f t="shared" si="31"/>
        <v>1</v>
      </c>
      <c r="FX23" s="197"/>
      <c r="FZ23" s="2"/>
      <c r="GA23" s="141"/>
      <c r="GB23" s="141"/>
      <c r="GC23" s="141"/>
      <c r="GD23" s="141"/>
      <c r="GE23" s="141"/>
      <c r="GF23" s="141"/>
      <c r="GG23" s="141"/>
      <c r="GH23" s="141"/>
      <c r="GI23" s="141"/>
      <c r="GJ23" s="141"/>
      <c r="GK23" s="2"/>
      <c r="ID23" s="781"/>
      <c r="IE23" s="1241" t="s">
        <v>1409</v>
      </c>
      <c r="IF23" s="1242" t="s">
        <v>35</v>
      </c>
      <c r="IG23" s="1243">
        <v>6</v>
      </c>
      <c r="IH23" s="1244">
        <v>0.375</v>
      </c>
      <c r="II23" s="1242">
        <v>7</v>
      </c>
      <c r="IJ23" s="1243">
        <v>6</v>
      </c>
      <c r="IK23" s="1244">
        <v>2.75</v>
      </c>
      <c r="IL23" s="1242">
        <v>6</v>
      </c>
      <c r="IM23" s="1242">
        <v>1.5</v>
      </c>
      <c r="IN23" s="1242" t="s">
        <v>116</v>
      </c>
      <c r="IO23" s="1242" t="s">
        <v>35</v>
      </c>
      <c r="IP23" s="1242">
        <v>5</v>
      </c>
      <c r="IQ23" s="1242">
        <v>13</v>
      </c>
      <c r="IR23" s="1242">
        <v>4</v>
      </c>
      <c r="IS23" s="1243">
        <v>1.75</v>
      </c>
      <c r="IT23" s="1244" t="s">
        <v>116</v>
      </c>
      <c r="IU23" s="1242" t="s">
        <v>116</v>
      </c>
      <c r="IV23" s="1242" t="s">
        <v>116</v>
      </c>
      <c r="IW23" s="1243" t="s">
        <v>116</v>
      </c>
      <c r="IX23" s="1244" t="s">
        <v>116</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35"/>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48</v>
      </c>
      <c r="Y24" s="2104"/>
      <c r="Z24" s="1093"/>
      <c r="AA24" s="1093"/>
      <c r="AB24" s="1448" t="s">
        <v>1410</v>
      </c>
      <c r="AC24" s="1710" t="s">
        <v>35</v>
      </c>
      <c r="AD24" s="1705">
        <v>6</v>
      </c>
      <c r="AE24" s="1709">
        <v>0.375</v>
      </c>
      <c r="AF24" s="1710">
        <v>7</v>
      </c>
      <c r="AG24" s="1705">
        <v>6</v>
      </c>
      <c r="AH24" s="1709">
        <v>2.75</v>
      </c>
      <c r="AI24" s="1705">
        <v>5</v>
      </c>
      <c r="AJ24" s="1709">
        <v>6</v>
      </c>
      <c r="AK24" s="1747" t="str">
        <f t="shared" si="12"/>
        <v/>
      </c>
      <c r="AL24" s="1748" t="s">
        <v>35</v>
      </c>
      <c r="AM24" s="1749">
        <v>5</v>
      </c>
      <c r="AN24" s="1710">
        <v>13</v>
      </c>
      <c r="AO24" s="1750">
        <v>4</v>
      </c>
      <c r="AP24" s="1712">
        <v>1.75</v>
      </c>
      <c r="AQ24" s="1751" t="str">
        <f t="shared" si="3"/>
        <v/>
      </c>
      <c r="AR24" s="1708">
        <v>54</v>
      </c>
      <c r="AS24" s="1709">
        <v>8</v>
      </c>
      <c r="AT24" s="1752">
        <v>15.3</v>
      </c>
      <c r="AU24" s="1753" t="s">
        <v>35</v>
      </c>
      <c r="AV24" s="1714" t="str">
        <f t="shared" si="16"/>
        <v/>
      </c>
      <c r="AW24" s="1709" t="str">
        <f t="shared" si="17"/>
        <v/>
      </c>
      <c r="AX24" s="1752" t="str">
        <f t="shared" si="18"/>
        <v/>
      </c>
      <c r="AY24" s="1753" t="str">
        <f t="shared" si="5"/>
        <v/>
      </c>
      <c r="AZ24" s="1714" t="str">
        <f t="shared" si="19"/>
        <v/>
      </c>
      <c r="BA24" s="1709" t="str">
        <f t="shared" si="20"/>
        <v/>
      </c>
      <c r="BB24" s="1752" t="str">
        <f t="shared" si="21"/>
        <v/>
      </c>
      <c r="BC24" s="1753" t="str">
        <f t="shared" si="6"/>
        <v/>
      </c>
      <c r="BD24" s="1714" t="str">
        <f t="shared" si="22"/>
        <v/>
      </c>
      <c r="BE24" s="1709" t="str">
        <f t="shared" si="23"/>
        <v/>
      </c>
      <c r="BF24" s="1752" t="str">
        <f t="shared" si="24"/>
        <v/>
      </c>
      <c r="BG24" s="1753" t="str">
        <f t="shared" si="7"/>
        <v/>
      </c>
      <c r="BH24" s="261"/>
      <c r="BJ24" s="143"/>
      <c r="BL24" s="1798"/>
      <c r="BW24" s="991">
        <f t="shared" si="25"/>
        <v>18</v>
      </c>
      <c r="BX24" s="991" t="str">
        <f t="shared" si="32"/>
        <v>G10</v>
      </c>
      <c r="BY24" s="991" t="b">
        <f t="shared" si="26"/>
        <v>0</v>
      </c>
      <c r="BZ24" s="1303" t="b">
        <f t="shared" si="33"/>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si="27"/>
        <v>G10B</v>
      </c>
      <c r="EY24" s="940" t="b">
        <f t="shared" ca="1" si="8"/>
        <v>1</v>
      </c>
      <c r="EZ24" s="940">
        <f t="shared" si="28"/>
        <v>5</v>
      </c>
      <c r="FA24" s="958" t="b">
        <f t="shared" si="34"/>
        <v>1</v>
      </c>
      <c r="FB24" s="134">
        <f t="shared" si="29"/>
        <v>661.625</v>
      </c>
      <c r="FC24" s="134">
        <f t="shared" si="9"/>
        <v>72.375</v>
      </c>
      <c r="FD24" s="134">
        <f t="shared" si="10"/>
        <v>523.25</v>
      </c>
      <c r="FE24" s="134">
        <f t="shared" si="11"/>
        <v>66</v>
      </c>
      <c r="FF24" s="134">
        <f t="shared" si="30"/>
        <v>661.625</v>
      </c>
      <c r="FN24" s="754" t="b">
        <v>0</v>
      </c>
      <c r="FO24" s="754"/>
      <c r="FP24" s="754" t="b">
        <v>0</v>
      </c>
      <c r="FQ24" s="754" t="b">
        <f t="shared" si="31"/>
        <v>1</v>
      </c>
      <c r="FX24" s="197"/>
      <c r="FZ24" s="2"/>
      <c r="GA24" s="141"/>
      <c r="GB24" s="141"/>
      <c r="GC24" s="141"/>
      <c r="GD24" s="141"/>
      <c r="GE24" s="141"/>
      <c r="GF24" s="141"/>
      <c r="GG24" s="141"/>
      <c r="GH24" s="141"/>
      <c r="GI24" s="141"/>
      <c r="GJ24" s="141"/>
      <c r="GK24" s="2"/>
      <c r="ID24" s="781"/>
      <c r="IE24" s="1241" t="s">
        <v>1410</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15.3</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35"/>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
        <v>1411</v>
      </c>
      <c r="AC25" s="1710" t="s">
        <v>35</v>
      </c>
      <c r="AD25" s="1705">
        <v>6</v>
      </c>
      <c r="AE25" s="1709">
        <v>0.375</v>
      </c>
      <c r="AF25" s="1710">
        <v>7</v>
      </c>
      <c r="AG25" s="1705">
        <v>6</v>
      </c>
      <c r="AH25" s="1709">
        <v>2.75</v>
      </c>
      <c r="AI25" s="1705">
        <v>6</v>
      </c>
      <c r="AJ25" s="1709">
        <v>0.375</v>
      </c>
      <c r="AK25" s="1747" t="str">
        <f t="shared" si="12"/>
        <v/>
      </c>
      <c r="AL25" s="1748" t="s">
        <v>35</v>
      </c>
      <c r="AM25" s="1749">
        <v>5</v>
      </c>
      <c r="AN25" s="1710">
        <v>13</v>
      </c>
      <c r="AO25" s="1750">
        <v>4</v>
      </c>
      <c r="AP25" s="1712">
        <v>1.75</v>
      </c>
      <c r="AQ25" s="1751">
        <v>1.75</v>
      </c>
      <c r="AR25" s="1708" t="s">
        <v>1018</v>
      </c>
      <c r="AS25" s="1709" t="s">
        <v>1578</v>
      </c>
      <c r="AT25" s="1752">
        <v>0.5</v>
      </c>
      <c r="AU25" s="1753" t="str">
        <f t="shared" si="4"/>
        <v/>
      </c>
      <c r="AV25" s="1714" t="s">
        <v>1018</v>
      </c>
      <c r="AW25" s="1709" t="s">
        <v>1581</v>
      </c>
      <c r="AX25" s="1752">
        <v>0.9</v>
      </c>
      <c r="AY25" s="1753" t="str">
        <f t="shared" si="5"/>
        <v/>
      </c>
      <c r="AZ25" s="1714" t="s">
        <v>1018</v>
      </c>
      <c r="BA25" s="1709" t="s">
        <v>1582</v>
      </c>
      <c r="BB25" s="1752">
        <v>0.9</v>
      </c>
      <c r="BC25" s="1753" t="str">
        <f t="shared" si="6"/>
        <v/>
      </c>
      <c r="BD25" s="1714" t="s">
        <v>1018</v>
      </c>
      <c r="BE25" s="1709" t="s">
        <v>1583</v>
      </c>
      <c r="BF25" s="1752">
        <v>0.6</v>
      </c>
      <c r="BG25" s="1753" t="str">
        <f t="shared" si="7"/>
        <v/>
      </c>
      <c r="BH25" s="261"/>
      <c r="BJ25" s="143"/>
      <c r="BL25" s="1798"/>
      <c r="BW25" s="991">
        <f t="shared" si="25"/>
        <v>27</v>
      </c>
      <c r="BX25" s="991" t="str">
        <f t="shared" si="32"/>
        <v>G11</v>
      </c>
      <c r="BY25" s="991" t="b">
        <f t="shared" si="26"/>
        <v>0</v>
      </c>
      <c r="BZ25" s="1303" t="b">
        <f t="shared" si="33"/>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si="27"/>
        <v>G11B</v>
      </c>
      <c r="EY25" s="940" t="b">
        <f t="shared" ca="1" si="8"/>
        <v>1</v>
      </c>
      <c r="EZ25" s="940">
        <f t="shared" si="28"/>
        <v>5</v>
      </c>
      <c r="FA25" s="958" t="b">
        <f t="shared" si="34"/>
        <v>1</v>
      </c>
      <c r="FB25" s="134">
        <f t="shared" si="29"/>
        <v>668</v>
      </c>
      <c r="FC25" s="134">
        <f t="shared" si="9"/>
        <v>72.375</v>
      </c>
      <c r="FD25" s="134">
        <f t="shared" si="10"/>
        <v>523.25</v>
      </c>
      <c r="FE25" s="134">
        <f t="shared" si="11"/>
        <v>72.375</v>
      </c>
      <c r="FF25" s="134">
        <f t="shared" si="30"/>
        <v>668</v>
      </c>
      <c r="FN25" s="754" t="b">
        <v>0</v>
      </c>
      <c r="FO25" s="754"/>
      <c r="FP25" s="754" t="b">
        <v>0</v>
      </c>
      <c r="FQ25" s="754" t="b">
        <f t="shared" si="31"/>
        <v>1</v>
      </c>
      <c r="FX25" s="197"/>
      <c r="FZ25" s="2"/>
      <c r="GA25" s="1985" t="s">
        <v>1140</v>
      </c>
      <c r="GB25" s="1985"/>
      <c r="GC25" s="1985"/>
      <c r="GD25" s="1985"/>
      <c r="GE25" s="1985"/>
      <c r="GF25" s="1985"/>
      <c r="GG25" s="1986"/>
      <c r="GH25" s="1986"/>
      <c r="GI25" s="1986"/>
      <c r="GJ25" s="1986"/>
      <c r="GK25" s="2"/>
      <c r="ID25" s="781"/>
      <c r="IE25" s="1241" t="s">
        <v>1411</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1018</v>
      </c>
      <c r="IV25" s="1242" t="s">
        <v>1578</v>
      </c>
      <c r="IW25" s="1243">
        <v>0.5</v>
      </c>
      <c r="IX25" s="1244" t="s">
        <v>116</v>
      </c>
      <c r="IY25" s="1242" t="s">
        <v>1018</v>
      </c>
      <c r="IZ25" s="1242" t="s">
        <v>1581</v>
      </c>
      <c r="JA25" s="1243">
        <v>0.9</v>
      </c>
      <c r="JB25" s="1244" t="s">
        <v>116</v>
      </c>
      <c r="JC25" s="1242" t="s">
        <v>1018</v>
      </c>
      <c r="JD25" s="1242" t="s">
        <v>1582</v>
      </c>
      <c r="JE25" s="1243">
        <v>0.9</v>
      </c>
      <c r="JF25" s="1244" t="s">
        <v>116</v>
      </c>
      <c r="JG25" s="1242" t="s">
        <v>1018</v>
      </c>
      <c r="JH25" s="1242" t="s">
        <v>1583</v>
      </c>
      <c r="JI25" s="1242">
        <v>0.6</v>
      </c>
      <c r="JJ25" s="1245" t="s">
        <v>116</v>
      </c>
      <c r="JK25" s="1242">
        <v>2</v>
      </c>
      <c r="JL25" s="1171">
        <f t="shared" ca="1" si="35"/>
        <v>1</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37"/>
        <v/>
      </c>
      <c r="AC26" s="1710" t="str">
        <f t="shared" si="38"/>
        <v/>
      </c>
      <c r="AD26" s="1705" t="str">
        <f t="shared" ca="1" si="39"/>
        <v/>
      </c>
      <c r="AE26" s="1709" t="str">
        <f t="shared" ca="1" si="40"/>
        <v/>
      </c>
      <c r="AF26" s="1710" t="str">
        <f t="shared" ca="1" si="41"/>
        <v/>
      </c>
      <c r="AG26" s="1705" t="str">
        <f t="shared" ca="1" si="42"/>
        <v/>
      </c>
      <c r="AH26" s="1709" t="str">
        <f t="shared" ca="1" si="43"/>
        <v/>
      </c>
      <c r="AI26" s="1705" t="str">
        <f t="shared" ca="1" si="44"/>
        <v/>
      </c>
      <c r="AJ26" s="1709" t="str">
        <f t="shared" ca="1" si="45"/>
        <v/>
      </c>
      <c r="AK26" s="1747" t="str">
        <f t="shared" si="12"/>
        <v/>
      </c>
      <c r="AL26" s="1748" t="str">
        <f t="shared" si="46"/>
        <v/>
      </c>
      <c r="AM26" s="1749" t="str">
        <f t="shared" si="47"/>
        <v/>
      </c>
      <c r="AN26" s="1710" t="str">
        <f t="shared" si="47"/>
        <v/>
      </c>
      <c r="AO26" s="1750" t="str">
        <f t="shared" si="47"/>
        <v/>
      </c>
      <c r="AP26" s="1712" t="str">
        <f t="shared" si="3"/>
        <v/>
      </c>
      <c r="AQ26" s="1751" t="str">
        <f t="shared" si="3"/>
        <v/>
      </c>
      <c r="AR26" s="1708" t="s">
        <v>1018</v>
      </c>
      <c r="AS26" s="1709" t="s">
        <v>1584</v>
      </c>
      <c r="AT26" s="1752">
        <v>0.6</v>
      </c>
      <c r="AU26" s="1753" t="str">
        <f t="shared" si="4"/>
        <v/>
      </c>
      <c r="AV26" s="1714" t="str">
        <f t="shared" si="16"/>
        <v/>
      </c>
      <c r="AW26" s="1709" t="str">
        <f t="shared" si="17"/>
        <v/>
      </c>
      <c r="AX26" s="1752" t="str">
        <f t="shared" si="18"/>
        <v/>
      </c>
      <c r="AY26" s="1753" t="str">
        <f t="shared" si="5"/>
        <v/>
      </c>
      <c r="AZ26" s="1714" t="str">
        <f t="shared" si="19"/>
        <v/>
      </c>
      <c r="BA26" s="1709" t="str">
        <f t="shared" si="20"/>
        <v/>
      </c>
      <c r="BB26" s="1752" t="str">
        <f t="shared" si="21"/>
        <v/>
      </c>
      <c r="BC26" s="1753" t="str">
        <f t="shared" si="6"/>
        <v/>
      </c>
      <c r="BD26" s="1714" t="str">
        <f t="shared" si="22"/>
        <v/>
      </c>
      <c r="BE26" s="1709" t="str">
        <f t="shared" si="23"/>
        <v/>
      </c>
      <c r="BF26" s="1752" t="str">
        <f t="shared" si="24"/>
        <v/>
      </c>
      <c r="BG26" s="1753" t="str">
        <f t="shared" si="7"/>
        <v/>
      </c>
      <c r="BH26" s="261"/>
      <c r="BJ26" s="143"/>
      <c r="BL26" s="1798"/>
      <c r="BW26" s="991">
        <f t="shared" ca="1" si="25"/>
        <v>3</v>
      </c>
      <c r="BX26" s="991" t="str">
        <f t="shared" ca="1" si="32"/>
        <v>G11</v>
      </c>
      <c r="BY26" s="991" t="b">
        <f t="shared" ca="1" si="26"/>
        <v>0</v>
      </c>
      <c r="BZ26" s="1303" t="b">
        <f t="shared" si="33"/>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27"/>
        <v>G11B</v>
      </c>
      <c r="EY26" s="940" t="str">
        <f t="shared" si="8"/>
        <v/>
      </c>
      <c r="EZ26" s="940" t="str">
        <f t="shared" si="28"/>
        <v/>
      </c>
      <c r="FA26" s="958" t="b">
        <f t="shared" ca="1" si="34"/>
        <v>1</v>
      </c>
      <c r="FB26" s="134">
        <f t="shared" ca="1" si="29"/>
        <v>668</v>
      </c>
      <c r="FC26" s="134">
        <f t="shared" ca="1" si="9"/>
        <v>0</v>
      </c>
      <c r="FD26" s="134">
        <f t="shared" ca="1" si="10"/>
        <v>0</v>
      </c>
      <c r="FE26" s="134">
        <f t="shared" ca="1" si="11"/>
        <v>0</v>
      </c>
      <c r="FF26" s="134">
        <f t="shared" ca="1" si="30"/>
        <v>664</v>
      </c>
      <c r="FN26" s="754" t="b">
        <v>0</v>
      </c>
      <c r="FO26" s="754"/>
      <c r="FP26" s="754" t="b">
        <v>0</v>
      </c>
      <c r="FQ26" s="754" t="b">
        <f t="shared" si="31"/>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t="s">
        <v>116</v>
      </c>
      <c r="IF26" s="1242" t="s">
        <v>116</v>
      </c>
      <c r="IG26" s="1243" t="s">
        <v>116</v>
      </c>
      <c r="IH26" s="1244" t="s">
        <v>116</v>
      </c>
      <c r="II26" s="1242" t="s">
        <v>116</v>
      </c>
      <c r="IJ26" s="1243" t="s">
        <v>116</v>
      </c>
      <c r="IK26" s="1244" t="s">
        <v>116</v>
      </c>
      <c r="IL26" s="1242" t="s">
        <v>116</v>
      </c>
      <c r="IM26" s="1242" t="s">
        <v>116</v>
      </c>
      <c r="IN26" s="1242" t="s">
        <v>116</v>
      </c>
      <c r="IO26" s="1242" t="s">
        <v>116</v>
      </c>
      <c r="IP26" s="1242" t="s">
        <v>116</v>
      </c>
      <c r="IQ26" s="1242" t="s">
        <v>116</v>
      </c>
      <c r="IR26" s="1242" t="s">
        <v>116</v>
      </c>
      <c r="IS26" s="1243" t="s">
        <v>116</v>
      </c>
      <c r="IT26" s="1244" t="s">
        <v>116</v>
      </c>
      <c r="IU26" s="1242" t="s">
        <v>1018</v>
      </c>
      <c r="IV26" s="1242" t="s">
        <v>1584</v>
      </c>
      <c r="IW26" s="1243">
        <v>0.6</v>
      </c>
      <c r="IX26" s="1244" t="s">
        <v>116</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c r="JL26" s="1171">
        <f t="shared" ca="1" si="35"/>
        <v>2</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
        <v>1412</v>
      </c>
      <c r="AC27" s="1710" t="s">
        <v>35</v>
      </c>
      <c r="AD27" s="1705">
        <v>6</v>
      </c>
      <c r="AE27" s="1709">
        <v>0.375</v>
      </c>
      <c r="AF27" s="1710">
        <v>7</v>
      </c>
      <c r="AG27" s="1705">
        <v>6</v>
      </c>
      <c r="AH27" s="1709">
        <v>2.75</v>
      </c>
      <c r="AI27" s="1705">
        <v>5</v>
      </c>
      <c r="AJ27" s="1709">
        <v>8.375</v>
      </c>
      <c r="AK27" s="1747" t="str">
        <f t="shared" si="12"/>
        <v/>
      </c>
      <c r="AL27" s="1748" t="s">
        <v>35</v>
      </c>
      <c r="AM27" s="1749">
        <v>5</v>
      </c>
      <c r="AN27" s="1710">
        <v>13</v>
      </c>
      <c r="AO27" s="1750">
        <v>4</v>
      </c>
      <c r="AP27" s="1712">
        <v>1.75</v>
      </c>
      <c r="AQ27" s="1751" t="str">
        <f t="shared" si="3"/>
        <v/>
      </c>
      <c r="AR27" s="1708" t="str">
        <f t="shared" si="13"/>
        <v/>
      </c>
      <c r="AS27" s="1709" t="str">
        <f t="shared" si="14"/>
        <v/>
      </c>
      <c r="AT27" s="1752" t="str">
        <f t="shared" si="15"/>
        <v/>
      </c>
      <c r="AU27" s="1753" t="str">
        <f t="shared" si="4"/>
        <v/>
      </c>
      <c r="AV27" s="1714" t="str">
        <f t="shared" si="16"/>
        <v/>
      </c>
      <c r="AW27" s="1709" t="str">
        <f t="shared" si="17"/>
        <v/>
      </c>
      <c r="AX27" s="1752" t="str">
        <f t="shared" si="18"/>
        <v/>
      </c>
      <c r="AY27" s="1753" t="str">
        <f t="shared" si="5"/>
        <v/>
      </c>
      <c r="AZ27" s="1714" t="str">
        <f t="shared" si="19"/>
        <v/>
      </c>
      <c r="BA27" s="1709" t="str">
        <f t="shared" si="20"/>
        <v/>
      </c>
      <c r="BB27" s="1752" t="str">
        <f t="shared" si="21"/>
        <v/>
      </c>
      <c r="BC27" s="1753" t="str">
        <f t="shared" si="6"/>
        <v/>
      </c>
      <c r="BD27" s="1714" t="str">
        <f t="shared" si="22"/>
        <v/>
      </c>
      <c r="BE27" s="1709" t="str">
        <f t="shared" si="23"/>
        <v/>
      </c>
      <c r="BF27" s="1752" t="str">
        <f t="shared" si="24"/>
        <v/>
      </c>
      <c r="BG27" s="1753" t="str">
        <f t="shared" si="7"/>
        <v/>
      </c>
      <c r="BH27" s="261"/>
      <c r="BJ27" s="517" t="s">
        <v>632</v>
      </c>
      <c r="BK27" s="518" t="s">
        <v>788</v>
      </c>
      <c r="BL27" s="1799" t="s">
        <v>170</v>
      </c>
      <c r="BM27" s="370" t="s">
        <v>171</v>
      </c>
      <c r="BN27" s="370" t="s">
        <v>172</v>
      </c>
      <c r="BO27" s="370" t="s">
        <v>417</v>
      </c>
      <c r="BP27" s="370" t="s">
        <v>418</v>
      </c>
      <c r="BQ27" s="370" t="s">
        <v>419</v>
      </c>
      <c r="BR27" s="370" t="s">
        <v>179</v>
      </c>
      <c r="BS27" s="370" t="s">
        <v>176</v>
      </c>
      <c r="BT27" s="370" t="s">
        <v>174</v>
      </c>
      <c r="BU27" s="370" t="s">
        <v>177</v>
      </c>
      <c r="BV27" s="370" t="s">
        <v>178</v>
      </c>
      <c r="BW27" s="991">
        <f t="shared" si="25"/>
        <v>14</v>
      </c>
      <c r="BX27" s="991" t="str">
        <f t="shared" si="32"/>
        <v>G12</v>
      </c>
      <c r="BY27" s="991" t="b">
        <f t="shared" si="26"/>
        <v>0</v>
      </c>
      <c r="BZ27" s="1303" t="b">
        <f t="shared" si="33"/>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27"/>
        <v>G12B</v>
      </c>
      <c r="EY27" s="940" t="b">
        <f t="shared" ca="1" si="8"/>
        <v>1</v>
      </c>
      <c r="EZ27" s="940">
        <f t="shared" si="28"/>
        <v>5</v>
      </c>
      <c r="FA27" s="958" t="b">
        <f t="shared" si="34"/>
        <v>1</v>
      </c>
      <c r="FB27" s="134">
        <f t="shared" si="29"/>
        <v>664</v>
      </c>
      <c r="FC27" s="134">
        <f t="shared" si="9"/>
        <v>72.375</v>
      </c>
      <c r="FD27" s="134">
        <f t="shared" si="10"/>
        <v>523.25</v>
      </c>
      <c r="FE27" s="134">
        <f t="shared" si="11"/>
        <v>68.375</v>
      </c>
      <c r="FF27" s="134">
        <f t="shared" si="30"/>
        <v>664</v>
      </c>
      <c r="FN27" s="754" t="b">
        <v>0</v>
      </c>
      <c r="FO27" s="754"/>
      <c r="FP27" s="754" t="b">
        <v>0</v>
      </c>
      <c r="FQ27" s="754" t="b">
        <f t="shared" si="31"/>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t="s">
        <v>1412</v>
      </c>
      <c r="IF27" s="1242" t="s">
        <v>35</v>
      </c>
      <c r="IG27" s="1243">
        <v>6</v>
      </c>
      <c r="IH27" s="1244">
        <v>0.375</v>
      </c>
      <c r="II27" s="1242">
        <v>7</v>
      </c>
      <c r="IJ27" s="1243">
        <v>6</v>
      </c>
      <c r="IK27" s="1244">
        <v>2.75</v>
      </c>
      <c r="IL27" s="1242">
        <v>5</v>
      </c>
      <c r="IM27" s="1242">
        <v>8.375</v>
      </c>
      <c r="IN27" s="1242" t="s">
        <v>116</v>
      </c>
      <c r="IO27" s="1242" t="s">
        <v>35</v>
      </c>
      <c r="IP27" s="1242">
        <v>5</v>
      </c>
      <c r="IQ27" s="1242">
        <v>13</v>
      </c>
      <c r="IR27" s="1242">
        <v>4</v>
      </c>
      <c r="IS27" s="1243">
        <v>1.75</v>
      </c>
      <c r="IT27" s="1244" t="s">
        <v>116</v>
      </c>
      <c r="IU27" s="1242" t="s">
        <v>116</v>
      </c>
      <c r="IV27" s="1242" t="s">
        <v>116</v>
      </c>
      <c r="IW27" s="1243" t="s">
        <v>116</v>
      </c>
      <c r="IX27" s="1244" t="s">
        <v>116</v>
      </c>
      <c r="IY27" s="1242" t="s">
        <v>116</v>
      </c>
      <c r="IZ27" s="1242" t="s">
        <v>116</v>
      </c>
      <c r="JA27" s="1243" t="s">
        <v>116</v>
      </c>
      <c r="JB27" s="1244" t="s">
        <v>116</v>
      </c>
      <c r="JC27" s="1242" t="s">
        <v>116</v>
      </c>
      <c r="JD27" s="1242" t="s">
        <v>116</v>
      </c>
      <c r="JE27" s="1243" t="s">
        <v>116</v>
      </c>
      <c r="JF27" s="1244" t="s">
        <v>116</v>
      </c>
      <c r="JG27" s="1242" t="s">
        <v>116</v>
      </c>
      <c r="JH27" s="1242" t="s">
        <v>116</v>
      </c>
      <c r="JI27" s="1242" t="s">
        <v>116</v>
      </c>
      <c r="JJ27" s="1245" t="s">
        <v>116</v>
      </c>
      <c r="JK27" s="1242">
        <v>1</v>
      </c>
      <c r="JL27" s="1171">
        <f t="shared" ca="1" si="35"/>
        <v>1</v>
      </c>
    </row>
    <row r="28" spans="1:274" ht="12.6" customHeight="1" thickTop="1" x14ac:dyDescent="0.3">
      <c r="A28" s="1473" t="s">
        <v>1400</v>
      </c>
      <c r="B28" s="1680">
        <v>2</v>
      </c>
      <c r="C28" s="1474" t="s">
        <v>1778</v>
      </c>
      <c r="D28" s="1691">
        <v>56</v>
      </c>
      <c r="E28" s="1692">
        <v>4</v>
      </c>
      <c r="F28" s="1693">
        <v>11.125</v>
      </c>
      <c r="G28" s="1694">
        <v>0</v>
      </c>
      <c r="H28" s="1695">
        <v>1.75</v>
      </c>
      <c r="I28" s="1696" t="s">
        <v>113</v>
      </c>
      <c r="J28" s="1691">
        <v>0</v>
      </c>
      <c r="K28" s="1695">
        <v>0.5</v>
      </c>
      <c r="L28" s="1697" t="s">
        <v>113</v>
      </c>
      <c r="M28" s="1698">
        <v>7.5</v>
      </c>
      <c r="N28" s="1699">
        <v>7.5</v>
      </c>
      <c r="O28" s="1694">
        <v>0</v>
      </c>
      <c r="P28" s="1695">
        <v>6.75</v>
      </c>
      <c r="Q28" s="1691">
        <v>0</v>
      </c>
      <c r="R28" s="1692">
        <v>5.5</v>
      </c>
      <c r="S28" s="1700">
        <v>0</v>
      </c>
      <c r="T28" s="1695">
        <v>6.25</v>
      </c>
      <c r="U28" s="1691">
        <v>0</v>
      </c>
      <c r="V28" s="1695">
        <v>5</v>
      </c>
      <c r="W28" s="1699">
        <v>5</v>
      </c>
      <c r="X28" s="1701" t="str">
        <f t="shared" ref="X28:X44" si="48">IF(EN68="","",EN68)</f>
        <v/>
      </c>
      <c r="Y28" s="1702" t="str">
        <f t="shared" ref="Y28:Y44" si="49">IF(ES68="","",ES68)</f>
        <v/>
      </c>
      <c r="Z28" s="1703" t="s">
        <v>1781</v>
      </c>
      <c r="AA28" s="1704" t="str">
        <f t="shared" ref="AA28:AA45" si="50">IF(ISBLANK(DD28),"",DD28)</f>
        <v/>
      </c>
      <c r="AB28" s="1448" t="s">
        <v>1413</v>
      </c>
      <c r="AC28" s="1710" t="s">
        <v>35</v>
      </c>
      <c r="AD28" s="1705">
        <v>6</v>
      </c>
      <c r="AE28" s="1709">
        <v>0.375</v>
      </c>
      <c r="AF28" s="1710">
        <v>7</v>
      </c>
      <c r="AG28" s="1705">
        <v>6</v>
      </c>
      <c r="AH28" s="1709">
        <v>2.75</v>
      </c>
      <c r="AI28" s="1705">
        <v>6</v>
      </c>
      <c r="AJ28" s="1709">
        <v>0.375</v>
      </c>
      <c r="AK28" s="1747" t="str">
        <f t="shared" si="12"/>
        <v/>
      </c>
      <c r="AL28" s="1748" t="s">
        <v>35</v>
      </c>
      <c r="AM28" s="1749">
        <v>5</v>
      </c>
      <c r="AN28" s="1710">
        <v>13</v>
      </c>
      <c r="AO28" s="1750">
        <v>4</v>
      </c>
      <c r="AP28" s="1712">
        <v>1.75</v>
      </c>
      <c r="AQ28" s="1751">
        <v>1.75</v>
      </c>
      <c r="AR28" s="1708" t="str">
        <f t="shared" si="13"/>
        <v/>
      </c>
      <c r="AS28" s="1709" t="str">
        <f t="shared" si="14"/>
        <v/>
      </c>
      <c r="AT28" s="1752" t="str">
        <f t="shared" si="15"/>
        <v/>
      </c>
      <c r="AU28" s="1753" t="str">
        <f t="shared" si="4"/>
        <v/>
      </c>
      <c r="AV28" s="1714" t="str">
        <f t="shared" si="16"/>
        <v/>
      </c>
      <c r="AW28" s="1709" t="str">
        <f t="shared" si="17"/>
        <v/>
      </c>
      <c r="AX28" s="1752" t="str">
        <f t="shared" si="18"/>
        <v/>
      </c>
      <c r="AY28" s="1753" t="str">
        <f t="shared" si="5"/>
        <v/>
      </c>
      <c r="AZ28" s="1714" t="str">
        <f t="shared" si="19"/>
        <v/>
      </c>
      <c r="BA28" s="1709" t="str">
        <f t="shared" si="20"/>
        <v/>
      </c>
      <c r="BB28" s="1752" t="str">
        <f t="shared" si="21"/>
        <v/>
      </c>
      <c r="BC28" s="1753" t="str">
        <f t="shared" si="6"/>
        <v/>
      </c>
      <c r="BD28" s="1714" t="str">
        <f t="shared" si="22"/>
        <v/>
      </c>
      <c r="BE28" s="1709" t="str">
        <f t="shared" si="23"/>
        <v/>
      </c>
      <c r="BF28" s="1752" t="str">
        <f t="shared" si="24"/>
        <v/>
      </c>
      <c r="BG28" s="1753" t="str">
        <f t="shared" si="7"/>
        <v/>
      </c>
      <c r="BH28" s="261"/>
      <c r="BJ28" s="1301" t="str">
        <f>IF(OR(ISBLANK(A28),A28=""),"",A28)</f>
        <v>G1</v>
      </c>
      <c r="BK28" s="988" t="b">
        <f>IF($BK$1,IF(AND(BJ28&lt;&gt;"",OR(B28=0,B28="")),TRUE,FALSE),FALSE)</f>
        <v>0</v>
      </c>
      <c r="BL28" s="1800" t="b">
        <v>0</v>
      </c>
      <c r="BM28" s="989">
        <f>IF(C28="",0,VALUE(IF(BN28="","",LEFT(C28,SEARCH(BN28,C28)-1))))</f>
        <v>48</v>
      </c>
      <c r="BN28" s="989" t="str">
        <f>IF(C28="",0,IF(NOT(ISERROR(SEARCH("VG",C28))),"VG",IF(NOT(ISERROR(SEARCH("BG",C28))),"BG",IF(NOT(ISERROR(SEARCH("G",C28))),"G"))))</f>
        <v>VG</v>
      </c>
      <c r="BO28" s="989">
        <f>IF(C28="",0,VALUE(MID(C28,SEARCH(BN28,C28)+LEN(BN28),SEARCH("N",C28)-SEARCH(BN28,C28)-LEN(BN28))))</f>
        <v>9</v>
      </c>
      <c r="BP28" s="989" t="str">
        <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16.3/9.7</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7.75</v>
      </c>
      <c r="BT28" s="990" t="str">
        <f>IF(IF(ISNUMBER(S28),S28*12,0)+IF(ISNUMBER(T28),T28,0)&gt;0,IF(AND(IF(ISNUMBER(S28),S28*12,0)+IF(ISNUMBER(T28),T28,0)&gt;=$FE$4/2+$EX$6,IF(ISNUMBER(S28),S28*12,0)+IF(ISNUMBER(T28),T28,0)&lt;=(BS28-($FE$4/2+$EX$6))+IF(I28="X",2,0)),"Yes","No"),"No")</f>
        <v>Yes</v>
      </c>
      <c r="BU28" s="1302">
        <f>6+IF(LEFT(L28,1)="R",IF(ISNUMBER(J28),J28*12,0)+IF(ISNUMBER(K28),K28,0),0)</f>
        <v>6.5</v>
      </c>
      <c r="BV28" s="990" t="str">
        <f>IF(IF(ISNUMBER(U28),U28*12,0)+IF(ISNUMBER(V28),V28,0)&gt;0,IF(AND(IF(ISNUMBER(U28),U28*12,0)+IF(ISNUMBER(V28),V28,0)&gt;=$FE$4/2+$EX$6,IF(ISNUMBER(U28),U28*12,0)+IF(ISNUMBER(V28),V28,0)&lt;=(BU28-($FE$4/2+$EX$6))+IF(L28="X",2,0)),"Yes","No"),"No")</f>
        <v>Yes</v>
      </c>
      <c r="BW28" s="991">
        <f t="shared" si="25"/>
        <v>15</v>
      </c>
      <c r="BX28" s="991" t="str">
        <f t="shared" si="32"/>
        <v>G13</v>
      </c>
      <c r="BY28" s="991" t="b">
        <f t="shared" si="26"/>
        <v>0</v>
      </c>
      <c r="BZ28" s="1303" t="b">
        <f t="shared" si="33"/>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52">IF(DQ68=DR68,"",CONCATENATE(IF(CL28&lt;0,"NS ","FS "),IF(DR68="ERR","Slot Only",CONCATENATE("Slot @ ",DQ68))))</f>
        <v/>
      </c>
      <c r="EO28" s="646" t="str">
        <f t="shared" ref="EO28:EO45" si="53">IF(DX68=DY68,"",CONCATENATE(IF(CV28&lt;0,"FS ","NS "),IF(DY68="ERR","Slot Only",CONCATENATE("Slot @ ",DX68))))</f>
        <v/>
      </c>
      <c r="EP28" s="647" t="str">
        <f t="shared" ref="EP28:EP45" si="54">IF(EC68="","",IF(CI68&lt;&gt;EC68,CONCATENATE("LE slots @ ",CI68," Ga."),IF(CR68&lt;&gt;EC68,CONCATENATE("RE slots @ ",CR68," Ga."),"")))</f>
        <v/>
      </c>
      <c r="EQ28" s="812" t="str">
        <f t="shared" ref="EQ28:EQ45" si="55">IF(AND(ET28&lt;&gt;"",CL28&lt;&gt;"",EU28&lt;&gt;"",CV28&lt;&gt;""),"BE",IF(AND(ET28&lt;&gt;"",CL28&lt;&gt;""),"LE",IF(AND(EU28&lt;&gt;"",CV28&lt;&gt;""),"RE","")))</f>
        <v/>
      </c>
      <c r="ER28" s="1582" t="str">
        <f t="shared" ref="ER28:ER45" si="56">IF(ISBLANK(CO28),"",IF(CEILING(DB68,0.125)&lt;=DC68+$FA$4,"",CEILING(DB68,0.125)))</f>
        <v/>
      </c>
      <c r="ES28" s="1583" t="str">
        <f t="shared" ref="ES28:ES45" si="57">IF(ISBLANK(CY28),"",IF(CEILING(DH68,0.125)&lt;=DI68+$FA$4,"",CEILING(DH68,0.125)))</f>
        <v/>
      </c>
      <c r="ET28" s="1584" t="str">
        <f t="shared" ref="ET28:ET45" si="58">IF(CG28="","",IF($FB$4&gt;EV68,EV68,""))</f>
        <v/>
      </c>
      <c r="EU28" s="1585" t="str">
        <f t="shared" ref="EU28:EU45" si="59">IF(CQ28="","",IF($FB$4&gt;EW68,EW68,""))</f>
        <v/>
      </c>
      <c r="EX28" s="503" t="str">
        <f t="shared" si="27"/>
        <v>G13B</v>
      </c>
      <c r="EY28" s="940" t="b">
        <f t="shared" ca="1" si="8"/>
        <v>1</v>
      </c>
      <c r="EZ28" s="940">
        <f t="shared" si="28"/>
        <v>5</v>
      </c>
      <c r="FA28" s="958" t="b">
        <f t="shared" si="34"/>
        <v>1</v>
      </c>
      <c r="FB28" s="134">
        <f t="shared" si="29"/>
        <v>668</v>
      </c>
      <c r="FC28" s="134">
        <f t="shared" si="9"/>
        <v>72.375</v>
      </c>
      <c r="FD28" s="134">
        <f t="shared" si="10"/>
        <v>523.25</v>
      </c>
      <c r="FE28" s="134">
        <f t="shared" si="11"/>
        <v>72.375</v>
      </c>
      <c r="FF28" s="134">
        <f t="shared" si="30"/>
        <v>668</v>
      </c>
      <c r="FN28" s="993" t="b">
        <v>0</v>
      </c>
      <c r="FO28" s="754" t="b">
        <f>NOT(ISERROR(VLOOKUP(A28,$AB$14:$AB$45,1,FALSE)))</f>
        <v>1</v>
      </c>
      <c r="FP28" s="754" t="b">
        <v>0</v>
      </c>
      <c r="FQ28" s="754" t="b">
        <f t="shared" si="31"/>
        <v>1</v>
      </c>
      <c r="FX28" s="197"/>
      <c r="FZ28" s="2"/>
      <c r="GA28" s="1761">
        <v>56</v>
      </c>
      <c r="GB28" s="1762">
        <v>0.75</v>
      </c>
      <c r="GC28" s="1763">
        <v>-0.25</v>
      </c>
      <c r="GD28" s="1764">
        <v>3.5</v>
      </c>
      <c r="GE28" s="1765">
        <f t="shared" ref="GE28:GE45" si="60">IF(GF28="","",IF(ISBLANK(DA28),IF(X28=Y28,0,MAX(ABS(X28),ABS(Y28))*IF(X28&lt;0,-1,1)),DA28))</f>
        <v>0</v>
      </c>
      <c r="GF28" s="582" t="str">
        <f t="shared" ref="GF28:GF45" si="61">IF(A28=0,"",A28)</f>
        <v>G1</v>
      </c>
      <c r="GG28" s="692">
        <v>0</v>
      </c>
      <c r="GH28" s="1134">
        <v>0</v>
      </c>
      <c r="GI28" s="692"/>
      <c r="GJ28" s="1134"/>
      <c r="GK28" s="1640">
        <f t="shared" ref="GK28:GK45" si="62">IF(D28="",0,D28*12+E28)</f>
        <v>676</v>
      </c>
      <c r="GL28" s="1640">
        <f t="shared" ref="GL28:GL45" si="63">(GA28*12+GB28+GC28+GD28)/COS(ATAN(ABS(GE28/12)))</f>
        <v>676</v>
      </c>
      <c r="GM28" s="1641">
        <f>IF(ABS(GK28-GL28)&gt;='Job Info.'!$L$22,ABS(GK28-GL28),0)</f>
        <v>0</v>
      </c>
      <c r="GZ28" s="144"/>
      <c r="HA28" s="1235" t="s">
        <v>1400</v>
      </c>
      <c r="HB28" s="1236">
        <v>2</v>
      </c>
      <c r="HC28" s="1236" t="s">
        <v>1577</v>
      </c>
      <c r="HD28" s="1237">
        <v>56</v>
      </c>
      <c r="HE28" s="1238">
        <v>4</v>
      </c>
      <c r="HF28" s="1236">
        <v>11.125</v>
      </c>
      <c r="HG28" s="1236">
        <v>0</v>
      </c>
      <c r="HH28" s="1236">
        <v>1.75</v>
      </c>
      <c r="HI28" s="1236" t="s">
        <v>113</v>
      </c>
      <c r="HJ28" s="1236">
        <v>0</v>
      </c>
      <c r="HK28" s="1236">
        <v>0.5</v>
      </c>
      <c r="HL28" s="1236" t="s">
        <v>113</v>
      </c>
      <c r="HM28" s="1236">
        <v>7.5</v>
      </c>
      <c r="HN28" s="1236">
        <v>7.5</v>
      </c>
      <c r="HO28" s="1236">
        <v>0</v>
      </c>
      <c r="HP28" s="1236">
        <v>6.75</v>
      </c>
      <c r="HQ28" s="1236">
        <v>0</v>
      </c>
      <c r="HR28" s="1236">
        <v>5.5</v>
      </c>
      <c r="HS28" s="1236">
        <v>0</v>
      </c>
      <c r="HT28" s="1236">
        <v>6.25</v>
      </c>
      <c r="HU28" s="1236">
        <v>0</v>
      </c>
      <c r="HV28" s="1236">
        <v>5</v>
      </c>
      <c r="HW28" s="1236">
        <v>5</v>
      </c>
      <c r="HX28" s="1236" t="s">
        <v>116</v>
      </c>
      <c r="HY28" s="1239" t="s">
        <v>116</v>
      </c>
      <c r="HZ28" s="1239" t="s">
        <v>1621</v>
      </c>
      <c r="IA28" s="1239" t="s">
        <v>116</v>
      </c>
      <c r="IB28" s="1239"/>
      <c r="IC28" s="1239"/>
      <c r="ID28" s="1240"/>
      <c r="IE28" s="1241" t="s">
        <v>1413</v>
      </c>
      <c r="IF28" s="1242" t="s">
        <v>35</v>
      </c>
      <c r="IG28" s="1243">
        <v>6</v>
      </c>
      <c r="IH28" s="1244">
        <v>0.375</v>
      </c>
      <c r="II28" s="1242">
        <v>7</v>
      </c>
      <c r="IJ28" s="1243">
        <v>6</v>
      </c>
      <c r="IK28" s="1244">
        <v>2.75</v>
      </c>
      <c r="IL28" s="1242">
        <v>6</v>
      </c>
      <c r="IM28" s="1242">
        <v>0.375</v>
      </c>
      <c r="IN28" s="1242" t="s">
        <v>116</v>
      </c>
      <c r="IO28" s="1242" t="s">
        <v>35</v>
      </c>
      <c r="IP28" s="1242">
        <v>5</v>
      </c>
      <c r="IQ28" s="1242">
        <v>13</v>
      </c>
      <c r="IR28" s="1242">
        <v>4</v>
      </c>
      <c r="IS28" s="1243">
        <v>1.75</v>
      </c>
      <c r="IT28" s="1244">
        <v>1.75</v>
      </c>
      <c r="IU28" s="1242" t="s">
        <v>116</v>
      </c>
      <c r="IV28" s="1242" t="s">
        <v>116</v>
      </c>
      <c r="IW28" s="1243" t="s">
        <v>116</v>
      </c>
      <c r="IX28" s="1244" t="s">
        <v>116</v>
      </c>
      <c r="IY28" s="1242" t="s">
        <v>116</v>
      </c>
      <c r="IZ28" s="1242" t="s">
        <v>116</v>
      </c>
      <c r="JA28" s="1243" t="s">
        <v>116</v>
      </c>
      <c r="JB28" s="1244" t="s">
        <v>116</v>
      </c>
      <c r="JC28" s="1242" t="s">
        <v>116</v>
      </c>
      <c r="JD28" s="1242" t="s">
        <v>116</v>
      </c>
      <c r="JE28" s="1243" t="s">
        <v>116</v>
      </c>
      <c r="JF28" s="1244" t="s">
        <v>116</v>
      </c>
      <c r="JG28" s="1242" t="s">
        <v>116</v>
      </c>
      <c r="JH28" s="1242" t="s">
        <v>116</v>
      </c>
      <c r="JI28" s="1242" t="s">
        <v>116</v>
      </c>
      <c r="JJ28" s="1245" t="s">
        <v>116</v>
      </c>
      <c r="JK28" s="1242">
        <v>1</v>
      </c>
      <c r="JL28" s="1171">
        <f t="shared" ca="1" si="35"/>
        <v>1</v>
      </c>
    </row>
    <row r="29" spans="1:274" ht="12.6" customHeight="1" x14ac:dyDescent="0.25">
      <c r="A29" s="1448" t="s">
        <v>1402</v>
      </c>
      <c r="B29" s="1681">
        <v>2</v>
      </c>
      <c r="C29" s="1449" t="s">
        <v>1778</v>
      </c>
      <c r="D29" s="1705">
        <v>55</v>
      </c>
      <c r="E29" s="1706">
        <v>11.5</v>
      </c>
      <c r="F29" s="1707">
        <v>11.125</v>
      </c>
      <c r="G29" s="1708">
        <v>0</v>
      </c>
      <c r="H29" s="1709">
        <v>1.75</v>
      </c>
      <c r="I29" s="1710" t="s">
        <v>113</v>
      </c>
      <c r="J29" s="1705">
        <v>0</v>
      </c>
      <c r="K29" s="1709">
        <v>1.75</v>
      </c>
      <c r="L29" s="1711" t="s">
        <v>113</v>
      </c>
      <c r="M29" s="1712">
        <v>7.5</v>
      </c>
      <c r="N29" s="1713">
        <v>7.5</v>
      </c>
      <c r="O29" s="1708">
        <v>0</v>
      </c>
      <c r="P29" s="1709">
        <v>6.75</v>
      </c>
      <c r="Q29" s="1705">
        <v>0</v>
      </c>
      <c r="R29" s="1706">
        <v>6.75</v>
      </c>
      <c r="S29" s="1714">
        <v>0</v>
      </c>
      <c r="T29" s="1709">
        <v>6.25</v>
      </c>
      <c r="U29" s="1705">
        <v>0</v>
      </c>
      <c r="V29" s="1709">
        <v>6.25</v>
      </c>
      <c r="W29" s="1713">
        <v>5</v>
      </c>
      <c r="X29" s="1715" t="str">
        <f t="shared" si="48"/>
        <v/>
      </c>
      <c r="Y29" s="1716" t="str">
        <f t="shared" si="49"/>
        <v/>
      </c>
      <c r="Z29" s="1717" t="s">
        <v>1782</v>
      </c>
      <c r="AA29" s="1718" t="str">
        <f t="shared" si="50"/>
        <v/>
      </c>
      <c r="AB29" s="1448" t="s">
        <v>1414</v>
      </c>
      <c r="AC29" s="1710" t="s">
        <v>35</v>
      </c>
      <c r="AD29" s="1705">
        <v>6</v>
      </c>
      <c r="AE29" s="1709">
        <v>0.375</v>
      </c>
      <c r="AF29" s="1710">
        <v>7</v>
      </c>
      <c r="AG29" s="1705">
        <v>6</v>
      </c>
      <c r="AH29" s="1709">
        <v>2.75</v>
      </c>
      <c r="AI29" s="1705">
        <v>6</v>
      </c>
      <c r="AJ29" s="1709">
        <v>1.5</v>
      </c>
      <c r="AK29" s="1747" t="str">
        <f t="shared" si="12"/>
        <v/>
      </c>
      <c r="AL29" s="1748" t="s">
        <v>35</v>
      </c>
      <c r="AM29" s="1749">
        <v>5</v>
      </c>
      <c r="AN29" s="1710">
        <v>13</v>
      </c>
      <c r="AO29" s="1750">
        <v>4</v>
      </c>
      <c r="AP29" s="1712">
        <v>1.75</v>
      </c>
      <c r="AQ29" s="1751" t="str">
        <f t="shared" si="3"/>
        <v/>
      </c>
      <c r="AR29" s="1708" t="str">
        <f t="shared" si="13"/>
        <v/>
      </c>
      <c r="AS29" s="1709" t="str">
        <f t="shared" si="14"/>
        <v/>
      </c>
      <c r="AT29" s="1752" t="str">
        <f t="shared" si="15"/>
        <v/>
      </c>
      <c r="AU29" s="1753" t="str">
        <f t="shared" si="4"/>
        <v/>
      </c>
      <c r="AV29" s="1714" t="str">
        <f t="shared" si="16"/>
        <v/>
      </c>
      <c r="AW29" s="1709" t="str">
        <f t="shared" si="17"/>
        <v/>
      </c>
      <c r="AX29" s="1752" t="str">
        <f t="shared" si="18"/>
        <v/>
      </c>
      <c r="AY29" s="1753" t="str">
        <f t="shared" si="5"/>
        <v/>
      </c>
      <c r="AZ29" s="1714" t="str">
        <f t="shared" si="19"/>
        <v/>
      </c>
      <c r="BA29" s="1709" t="str">
        <f t="shared" si="20"/>
        <v/>
      </c>
      <c r="BB29" s="1752" t="str">
        <f t="shared" si="21"/>
        <v/>
      </c>
      <c r="BC29" s="1753" t="str">
        <f t="shared" si="6"/>
        <v/>
      </c>
      <c r="BD29" s="1714" t="str">
        <f t="shared" si="22"/>
        <v/>
      </c>
      <c r="BE29" s="1709" t="str">
        <f t="shared" si="23"/>
        <v/>
      </c>
      <c r="BF29" s="1752" t="str">
        <f t="shared" si="24"/>
        <v/>
      </c>
      <c r="BG29" s="1753" t="str">
        <f t="shared" si="7"/>
        <v/>
      </c>
      <c r="BH29" s="261"/>
      <c r="BJ29" s="1301" t="str">
        <f>IF(AND(OR(ISBLANK(A29),A29=""),Z29&lt;&gt;""),BJ28,IF(OR(ISBLANK(A29),A29=""),"",A29))</f>
        <v>G2</v>
      </c>
      <c r="BK29" s="993" t="b">
        <f>IF($BK$1,IF(BJ29=BJ28,BK28,IF(AND(BJ29&lt;&gt;"",OR(B29=0,B29="")),TRUE,FALSE)),FALSE)</f>
        <v>0</v>
      </c>
      <c r="BL29" s="1800" t="b">
        <v>0</v>
      </c>
      <c r="BM29" s="989">
        <f t="shared" ref="BM29:BM45" si="64">IF(C29="",0,VALUE(IF(BN29="","",LEFT(C29,SEARCH(BN29,C29)-1))))</f>
        <v>48</v>
      </c>
      <c r="BN29" s="989" t="str">
        <f t="shared" ref="BN29:BN45" si="65">IF(C29="",0,IF(NOT(ISERROR(SEARCH("VG",C29))),"VG",IF(NOT(ISERROR(SEARCH("BG",C29))),"BG",IF(NOT(ISERROR(SEARCH("G",C29))),"G"))))</f>
        <v>VG</v>
      </c>
      <c r="BO29" s="989">
        <f t="shared" ref="BO29:BO45" si="66">IF(C29="",0,VALUE(MID(C29,SEARCH(BN29,C29)+LEN(BN29),SEARCH("N",C29)-SEARCH(BN29,C29)-LEN(BN29))))</f>
        <v>9</v>
      </c>
      <c r="BP29" s="989" t="str">
        <f t="shared" si="51"/>
        <v>16.3/9.7</v>
      </c>
      <c r="BQ29" s="989">
        <f t="shared" ref="BQ29:BQ45" si="67">IF(ISERROR(SEARCH("F",C29)),IF(C29="",0,IF(SEARCH("K",C29)=LEN(C29),0,VALUE(MID(C29,SEARCH("K",C29)+1,LEN(C29))))),IF(C29="",0,IF(SEARCH("F",C29)=LEN(C29),0,VALUE(MID(C29,SEARCH("F",C29)+1,LEN(C29))))))</f>
        <v>0</v>
      </c>
      <c r="BR29" s="989" t="b">
        <f t="shared" ref="BR29:BR45" si="68">IF(OR(ISERROR(BM29),ISERROR(BN29),ISERROR(BO29),ISERROR(BP29),ISERROR(BQ29)),FALSE,TRUE)</f>
        <v>1</v>
      </c>
      <c r="BS29" s="1302">
        <f t="shared" ref="BS29:BS45" si="69">6+IF(LEFT(I29,1)="R",IF(ISNUMBER(G29),G29*12,0)+IF(ISNUMBER(H29),H29,0),0)</f>
        <v>7.75</v>
      </c>
      <c r="BT29" s="990" t="str">
        <f t="shared" ref="BT29:BT45" si="70">IF(IF(ISNUMBER(S29),S29*12,0)+IF(ISNUMBER(T29),T29,0)&gt;0,IF(AND(IF(ISNUMBER(S29),S29*12,0)+IF(ISNUMBER(T29),T29,0)&gt;=$FE$4/2+$EX$6,IF(ISNUMBER(S29),S29*12,0)+IF(ISNUMBER(T29),T29,0)&lt;=(BS29-($FE$4/2+$EX$6))+IF(I29="X",2,0)),"Yes","No"),"No")</f>
        <v>Yes</v>
      </c>
      <c r="BU29" s="1302">
        <f t="shared" ref="BU29:BU45" si="71">6+IF(LEFT(L29,1)="R",IF(ISNUMBER(J29),J29*12,0)+IF(ISNUMBER(K29),K29,0),0)</f>
        <v>7.75</v>
      </c>
      <c r="BV29" s="990" t="str">
        <f t="shared" ref="BV29:BV45" si="72">IF(IF(ISNUMBER(U29),U29*12,0)+IF(ISNUMBER(V29),V29,0)&gt;0,IF(AND(IF(ISNUMBER(U29),U29*12,0)+IF(ISNUMBER(V29),V29,0)&gt;=$FE$4/2+$EX$6,IF(ISNUMBER(U29),U29*12,0)+IF(ISNUMBER(V29),V29,0)&lt;=(BU29-($FE$4/2+$EX$6))+IF(L29="X",2,0)),"Yes","No"),"No")</f>
        <v>Yes</v>
      </c>
      <c r="BW29" s="991">
        <f t="shared" si="25"/>
        <v>14</v>
      </c>
      <c r="BX29" s="991" t="str">
        <f t="shared" si="32"/>
        <v>G14</v>
      </c>
      <c r="BY29" s="991" t="b">
        <f t="shared" si="26"/>
        <v>0</v>
      </c>
      <c r="BZ29" s="1303" t="b">
        <f t="shared" si="33"/>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73">IF(ISBLANK(CB29),"",CB29)</f>
        <v/>
      </c>
      <c r="EN29" s="1632" t="str">
        <f t="shared" si="52"/>
        <v/>
      </c>
      <c r="EO29" s="648" t="str">
        <f t="shared" si="53"/>
        <v/>
      </c>
      <c r="EP29" s="649" t="str">
        <f t="shared" si="54"/>
        <v/>
      </c>
      <c r="EQ29" s="813" t="str">
        <f t="shared" si="55"/>
        <v/>
      </c>
      <c r="ER29" s="1586" t="str">
        <f t="shared" si="56"/>
        <v/>
      </c>
      <c r="ES29" s="1587" t="str">
        <f t="shared" si="57"/>
        <v/>
      </c>
      <c r="ET29" s="1588" t="str">
        <f t="shared" si="58"/>
        <v/>
      </c>
      <c r="EU29" s="1589" t="str">
        <f t="shared" si="59"/>
        <v/>
      </c>
      <c r="EX29" s="503" t="str">
        <f t="shared" si="27"/>
        <v>G14B</v>
      </c>
      <c r="EY29" s="940" t="b">
        <f t="shared" ca="1" si="8"/>
        <v>1</v>
      </c>
      <c r="EZ29" s="940">
        <f t="shared" si="28"/>
        <v>5</v>
      </c>
      <c r="FA29" s="958" t="b">
        <f t="shared" si="34"/>
        <v>1</v>
      </c>
      <c r="FB29" s="134">
        <f t="shared" si="29"/>
        <v>669.125</v>
      </c>
      <c r="FC29" s="134">
        <f t="shared" si="9"/>
        <v>72.375</v>
      </c>
      <c r="FD29" s="134">
        <f t="shared" si="10"/>
        <v>523.25</v>
      </c>
      <c r="FE29" s="134">
        <f t="shared" si="11"/>
        <v>73.5</v>
      </c>
      <c r="FF29" s="134">
        <f t="shared" si="30"/>
        <v>669.125</v>
      </c>
      <c r="FN29" s="993" t="b">
        <v>0</v>
      </c>
      <c r="FO29" s="754" t="b">
        <f t="shared" ref="FO29:FO45" si="74">NOT(ISERROR(VLOOKUP(A29,$AB$14:$AB$45,1,FALSE)))</f>
        <v>1</v>
      </c>
      <c r="FP29" s="754" t="b">
        <v>0</v>
      </c>
      <c r="FQ29" s="754" t="b">
        <f t="shared" si="31"/>
        <v>1</v>
      </c>
      <c r="FX29" s="197"/>
      <c r="FZ29" s="2"/>
      <c r="GA29" s="1761">
        <v>56</v>
      </c>
      <c r="GB29" s="1762">
        <v>0</v>
      </c>
      <c r="GC29" s="1763">
        <v>-0.25</v>
      </c>
      <c r="GD29" s="1764">
        <v>-0.25</v>
      </c>
      <c r="GE29" s="1765">
        <f t="shared" si="60"/>
        <v>0</v>
      </c>
      <c r="GF29" s="582" t="str">
        <f t="shared" si="61"/>
        <v>G2</v>
      </c>
      <c r="GG29" s="692">
        <v>0</v>
      </c>
      <c r="GH29" s="1135">
        <v>0</v>
      </c>
      <c r="GI29" s="692"/>
      <c r="GJ29" s="1135"/>
      <c r="GK29" s="1640">
        <f t="shared" si="62"/>
        <v>671.5</v>
      </c>
      <c r="GL29" s="1640">
        <f t="shared" si="63"/>
        <v>671.5</v>
      </c>
      <c r="GM29" s="1641">
        <f>IF(ABS(GK29-GL29)&gt;='Job Info.'!$L$22,ABS(GK29-GL29),0)</f>
        <v>0</v>
      </c>
      <c r="HA29" s="1241" t="s">
        <v>1402</v>
      </c>
      <c r="HB29" s="1242">
        <v>2</v>
      </c>
      <c r="HC29" s="1242" t="s">
        <v>1577</v>
      </c>
      <c r="HD29" s="1243">
        <v>55</v>
      </c>
      <c r="HE29" s="1244">
        <v>11.5</v>
      </c>
      <c r="HF29" s="1242">
        <v>11.125</v>
      </c>
      <c r="HG29" s="1242">
        <v>0</v>
      </c>
      <c r="HH29" s="1242">
        <v>1.75</v>
      </c>
      <c r="HI29" s="1242" t="s">
        <v>113</v>
      </c>
      <c r="HJ29" s="1242">
        <v>0</v>
      </c>
      <c r="HK29" s="1242">
        <v>1.75</v>
      </c>
      <c r="HL29" s="1242" t="s">
        <v>113</v>
      </c>
      <c r="HM29" s="1242">
        <v>7.5</v>
      </c>
      <c r="HN29" s="1242">
        <v>7.5</v>
      </c>
      <c r="HO29" s="1242">
        <v>0</v>
      </c>
      <c r="HP29" s="1242">
        <v>6.75</v>
      </c>
      <c r="HQ29" s="1242">
        <v>0</v>
      </c>
      <c r="HR29" s="1242">
        <v>6.75</v>
      </c>
      <c r="HS29" s="1242">
        <v>0</v>
      </c>
      <c r="HT29" s="1242">
        <v>6.25</v>
      </c>
      <c r="HU29" s="1242">
        <v>0</v>
      </c>
      <c r="HV29" s="1242">
        <v>6.25</v>
      </c>
      <c r="HW29" s="1242">
        <v>5</v>
      </c>
      <c r="HX29" s="1242" t="s">
        <v>116</v>
      </c>
      <c r="HY29" s="1246" t="s">
        <v>116</v>
      </c>
      <c r="HZ29" s="1246" t="s">
        <v>1622</v>
      </c>
      <c r="IA29" s="1246" t="s">
        <v>116</v>
      </c>
      <c r="IB29" s="1246"/>
      <c r="IC29" s="1246"/>
      <c r="ID29" s="1247"/>
      <c r="IE29" s="1241" t="s">
        <v>1414</v>
      </c>
      <c r="IF29" s="1242" t="s">
        <v>35</v>
      </c>
      <c r="IG29" s="1243">
        <v>6</v>
      </c>
      <c r="IH29" s="1244">
        <v>0.375</v>
      </c>
      <c r="II29" s="1242">
        <v>7</v>
      </c>
      <c r="IJ29" s="1243">
        <v>6</v>
      </c>
      <c r="IK29" s="1244">
        <v>2.75</v>
      </c>
      <c r="IL29" s="1242">
        <v>6</v>
      </c>
      <c r="IM29" s="1242">
        <v>1.5</v>
      </c>
      <c r="IN29" s="1242" t="s">
        <v>116</v>
      </c>
      <c r="IO29" s="1242" t="s">
        <v>35</v>
      </c>
      <c r="IP29" s="1242">
        <v>5</v>
      </c>
      <c r="IQ29" s="1242">
        <v>13</v>
      </c>
      <c r="IR29" s="1242">
        <v>4</v>
      </c>
      <c r="IS29" s="1243">
        <v>1.75</v>
      </c>
      <c r="IT29" s="1244" t="s">
        <v>116</v>
      </c>
      <c r="IU29" s="1242" t="s">
        <v>116</v>
      </c>
      <c r="IV29" s="1242" t="s">
        <v>116</v>
      </c>
      <c r="IW29" s="1243" t="s">
        <v>116</v>
      </c>
      <c r="IX29" s="1244" t="s">
        <v>116</v>
      </c>
      <c r="IY29" s="1242" t="s">
        <v>116</v>
      </c>
      <c r="IZ29" s="1242" t="s">
        <v>116</v>
      </c>
      <c r="JA29" s="1243" t="s">
        <v>116</v>
      </c>
      <c r="JB29" s="1244" t="s">
        <v>116</v>
      </c>
      <c r="JC29" s="1242" t="s">
        <v>116</v>
      </c>
      <c r="JD29" s="1242" t="s">
        <v>116</v>
      </c>
      <c r="JE29" s="1243" t="s">
        <v>116</v>
      </c>
      <c r="JF29" s="1244" t="s">
        <v>116</v>
      </c>
      <c r="JG29" s="1242" t="s">
        <v>116</v>
      </c>
      <c r="JH29" s="1242" t="s">
        <v>116</v>
      </c>
      <c r="JI29" s="1242" t="s">
        <v>116</v>
      </c>
      <c r="JJ29" s="1245" t="s">
        <v>116</v>
      </c>
      <c r="JK29" s="1242">
        <v>1</v>
      </c>
      <c r="JL29" s="1171">
        <f t="shared" ca="1" si="35"/>
        <v>1</v>
      </c>
    </row>
    <row r="30" spans="1:274" s="145" customFormat="1" ht="12.6" customHeight="1" x14ac:dyDescent="0.25">
      <c r="A30" s="1448" t="s">
        <v>1403</v>
      </c>
      <c r="B30" s="1681">
        <v>2</v>
      </c>
      <c r="C30" s="1449" t="s">
        <v>1778</v>
      </c>
      <c r="D30" s="1705">
        <v>55</v>
      </c>
      <c r="E30" s="1706">
        <v>11.5</v>
      </c>
      <c r="F30" s="1707">
        <v>11.125</v>
      </c>
      <c r="G30" s="1708">
        <v>0</v>
      </c>
      <c r="H30" s="1709">
        <v>1.75</v>
      </c>
      <c r="I30" s="1710" t="s">
        <v>113</v>
      </c>
      <c r="J30" s="1705">
        <v>0</v>
      </c>
      <c r="K30" s="1709">
        <v>1.75</v>
      </c>
      <c r="L30" s="1711" t="s">
        <v>113</v>
      </c>
      <c r="M30" s="1712">
        <v>7.5</v>
      </c>
      <c r="N30" s="1713">
        <v>7.5</v>
      </c>
      <c r="O30" s="1708">
        <v>0</v>
      </c>
      <c r="P30" s="1709">
        <v>6.75</v>
      </c>
      <c r="Q30" s="1705">
        <v>0</v>
      </c>
      <c r="R30" s="1706">
        <v>6.75</v>
      </c>
      <c r="S30" s="1714">
        <v>0</v>
      </c>
      <c r="T30" s="1709">
        <v>6.25</v>
      </c>
      <c r="U30" s="1705">
        <v>0</v>
      </c>
      <c r="V30" s="1709">
        <v>6.25</v>
      </c>
      <c r="W30" s="1713">
        <v>5</v>
      </c>
      <c r="X30" s="1715" t="str">
        <f t="shared" si="48"/>
        <v/>
      </c>
      <c r="Y30" s="1716" t="str">
        <f t="shared" si="49"/>
        <v/>
      </c>
      <c r="Z30" s="1717" t="s">
        <v>1783</v>
      </c>
      <c r="AA30" s="1718" t="str">
        <f t="shared" si="50"/>
        <v/>
      </c>
      <c r="AB30" s="1448" t="s">
        <v>1415</v>
      </c>
      <c r="AC30" s="1710" t="s">
        <v>35</v>
      </c>
      <c r="AD30" s="1705">
        <v>6</v>
      </c>
      <c r="AE30" s="1709">
        <v>0.375</v>
      </c>
      <c r="AF30" s="1710">
        <v>7</v>
      </c>
      <c r="AG30" s="1705">
        <v>6</v>
      </c>
      <c r="AH30" s="1709">
        <v>2.75</v>
      </c>
      <c r="AI30" s="1705">
        <v>5</v>
      </c>
      <c r="AJ30" s="1709">
        <v>6</v>
      </c>
      <c r="AK30" s="1747" t="str">
        <f t="shared" si="12"/>
        <v/>
      </c>
      <c r="AL30" s="1748" t="s">
        <v>35</v>
      </c>
      <c r="AM30" s="1749">
        <v>5</v>
      </c>
      <c r="AN30" s="1710">
        <v>13</v>
      </c>
      <c r="AO30" s="1750">
        <v>4</v>
      </c>
      <c r="AP30" s="1712">
        <v>1.75</v>
      </c>
      <c r="AQ30" s="1751" t="str">
        <f t="shared" si="3"/>
        <v/>
      </c>
      <c r="AR30" s="1708">
        <v>54</v>
      </c>
      <c r="AS30" s="1709">
        <v>8</v>
      </c>
      <c r="AT30" s="1752">
        <v>13.8</v>
      </c>
      <c r="AU30" s="1753" t="s">
        <v>35</v>
      </c>
      <c r="AV30" s="1714" t="str">
        <f t="shared" si="16"/>
        <v/>
      </c>
      <c r="AW30" s="1709" t="str">
        <f t="shared" si="17"/>
        <v/>
      </c>
      <c r="AX30" s="1752" t="str">
        <f t="shared" si="18"/>
        <v/>
      </c>
      <c r="AY30" s="1753" t="str">
        <f t="shared" si="5"/>
        <v/>
      </c>
      <c r="AZ30" s="1714" t="str">
        <f t="shared" si="19"/>
        <v/>
      </c>
      <c r="BA30" s="1709" t="str">
        <f t="shared" si="20"/>
        <v/>
      </c>
      <c r="BB30" s="1752" t="str">
        <f t="shared" si="21"/>
        <v/>
      </c>
      <c r="BC30" s="1753" t="str">
        <f t="shared" si="6"/>
        <v/>
      </c>
      <c r="BD30" s="1714" t="str">
        <f t="shared" si="22"/>
        <v/>
      </c>
      <c r="BE30" s="1709" t="str">
        <f t="shared" si="23"/>
        <v/>
      </c>
      <c r="BF30" s="1752" t="str">
        <f t="shared" si="24"/>
        <v/>
      </c>
      <c r="BG30" s="1753" t="str">
        <f t="shared" si="7"/>
        <v/>
      </c>
      <c r="BH30" s="262"/>
      <c r="BJ30" s="1301" t="str">
        <f t="shared" ref="BJ30:BJ45" si="75">IF(AND(OR(ISBLANK(A30),A30=""),Z30&lt;&gt;""),BJ29,IF(OR(ISBLANK(A30),A30=""),"",A30))</f>
        <v>G3</v>
      </c>
      <c r="BK30" s="993" t="b">
        <f>IF($BK$1,IF(BJ30=BJ29,BK29,IF(AND(BJ30&lt;&gt;"",OR(B30=0,B30="")),TRUE,FALSE)),FALSE)</f>
        <v>0</v>
      </c>
      <c r="BL30" s="1800" t="b">
        <v>0</v>
      </c>
      <c r="BM30" s="989">
        <f t="shared" si="64"/>
        <v>48</v>
      </c>
      <c r="BN30" s="989" t="str">
        <f t="shared" si="65"/>
        <v>VG</v>
      </c>
      <c r="BO30" s="989">
        <f t="shared" si="66"/>
        <v>9</v>
      </c>
      <c r="BP30" s="989" t="str">
        <f t="shared" si="51"/>
        <v>16.3/9.7</v>
      </c>
      <c r="BQ30" s="989">
        <f t="shared" si="67"/>
        <v>0</v>
      </c>
      <c r="BR30" s="989" t="b">
        <f t="shared" si="68"/>
        <v>1</v>
      </c>
      <c r="BS30" s="1302">
        <f t="shared" si="69"/>
        <v>7.75</v>
      </c>
      <c r="BT30" s="990" t="str">
        <f t="shared" si="70"/>
        <v>Yes</v>
      </c>
      <c r="BU30" s="1302">
        <f t="shared" si="71"/>
        <v>7.75</v>
      </c>
      <c r="BV30" s="990" t="str">
        <f t="shared" si="72"/>
        <v>Yes</v>
      </c>
      <c r="BW30" s="991">
        <f t="shared" si="25"/>
        <v>18</v>
      </c>
      <c r="BX30" s="991" t="str">
        <f t="shared" si="32"/>
        <v>G15</v>
      </c>
      <c r="BY30" s="991" t="b">
        <f t="shared" si="26"/>
        <v>0</v>
      </c>
      <c r="BZ30" s="1303" t="b">
        <f t="shared" si="33"/>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73"/>
        <v/>
      </c>
      <c r="EN30" s="1632" t="str">
        <f t="shared" si="52"/>
        <v/>
      </c>
      <c r="EO30" s="648" t="str">
        <f t="shared" si="53"/>
        <v/>
      </c>
      <c r="EP30" s="649" t="str">
        <f t="shared" si="54"/>
        <v/>
      </c>
      <c r="EQ30" s="813" t="str">
        <f t="shared" si="55"/>
        <v/>
      </c>
      <c r="ER30" s="1590" t="str">
        <f t="shared" si="56"/>
        <v/>
      </c>
      <c r="ES30" s="1591" t="str">
        <f t="shared" si="57"/>
        <v/>
      </c>
      <c r="ET30" s="1588" t="str">
        <f t="shared" si="58"/>
        <v/>
      </c>
      <c r="EU30" s="1589" t="str">
        <f t="shared" si="59"/>
        <v/>
      </c>
      <c r="EV30" s="130"/>
      <c r="EW30" s="130"/>
      <c r="EX30" s="503" t="str">
        <f t="shared" si="27"/>
        <v>G15B</v>
      </c>
      <c r="EY30" s="940" t="b">
        <f t="shared" ca="1" si="8"/>
        <v>1</v>
      </c>
      <c r="EZ30" s="940">
        <f t="shared" si="28"/>
        <v>5</v>
      </c>
      <c r="FA30" s="958" t="b">
        <f t="shared" si="34"/>
        <v>1</v>
      </c>
      <c r="FB30" s="134">
        <f t="shared" si="29"/>
        <v>661.625</v>
      </c>
      <c r="FC30" s="134">
        <f t="shared" si="9"/>
        <v>72.375</v>
      </c>
      <c r="FD30" s="134">
        <f t="shared" si="10"/>
        <v>523.25</v>
      </c>
      <c r="FE30" s="134">
        <f t="shared" si="11"/>
        <v>66</v>
      </c>
      <c r="FF30" s="134">
        <f t="shared" si="30"/>
        <v>661.625</v>
      </c>
      <c r="FN30" s="993" t="b">
        <v>0</v>
      </c>
      <c r="FO30" s="755" t="b">
        <f t="shared" si="74"/>
        <v>1</v>
      </c>
      <c r="FP30" s="754" t="b">
        <v>0</v>
      </c>
      <c r="FQ30" s="755" t="b">
        <f t="shared" si="31"/>
        <v>1</v>
      </c>
      <c r="FX30" s="197"/>
      <c r="FZ30" s="2"/>
      <c r="GA30" s="1761">
        <v>56</v>
      </c>
      <c r="GB30" s="1762">
        <v>0</v>
      </c>
      <c r="GC30" s="1763">
        <v>-0.25</v>
      </c>
      <c r="GD30" s="1764">
        <v>-0.25</v>
      </c>
      <c r="GE30" s="1765">
        <f t="shared" si="60"/>
        <v>0</v>
      </c>
      <c r="GF30" s="582" t="str">
        <f t="shared" si="61"/>
        <v>G3</v>
      </c>
      <c r="GG30" s="692">
        <v>0</v>
      </c>
      <c r="GH30" s="1135">
        <v>0</v>
      </c>
      <c r="GI30" s="692"/>
      <c r="GJ30" s="1135"/>
      <c r="GK30" s="1640">
        <f t="shared" si="62"/>
        <v>671.5</v>
      </c>
      <c r="GL30" s="1640">
        <f t="shared" si="63"/>
        <v>671.5</v>
      </c>
      <c r="GM30" s="1641">
        <f>IF(ABS(GK30-GL30)&gt;='Job Info.'!$L$22,ABS(GK30-GL30),0)</f>
        <v>0</v>
      </c>
      <c r="GZ30" s="130"/>
      <c r="HA30" s="1241" t="s">
        <v>1403</v>
      </c>
      <c r="HB30" s="1242">
        <v>2</v>
      </c>
      <c r="HC30" s="1242" t="s">
        <v>1577</v>
      </c>
      <c r="HD30" s="1243">
        <v>55</v>
      </c>
      <c r="HE30" s="1244">
        <v>11.5</v>
      </c>
      <c r="HF30" s="1242">
        <v>11.125</v>
      </c>
      <c r="HG30" s="1242">
        <v>0</v>
      </c>
      <c r="HH30" s="1242">
        <v>1.75</v>
      </c>
      <c r="HI30" s="1242" t="s">
        <v>113</v>
      </c>
      <c r="HJ30" s="1242">
        <v>0</v>
      </c>
      <c r="HK30" s="1242">
        <v>1.75</v>
      </c>
      <c r="HL30" s="1242" t="s">
        <v>113</v>
      </c>
      <c r="HM30" s="1242">
        <v>7.5</v>
      </c>
      <c r="HN30" s="1242">
        <v>7.5</v>
      </c>
      <c r="HO30" s="1242">
        <v>0</v>
      </c>
      <c r="HP30" s="1242">
        <v>6.75</v>
      </c>
      <c r="HQ30" s="1242">
        <v>0</v>
      </c>
      <c r="HR30" s="1242">
        <v>6.75</v>
      </c>
      <c r="HS30" s="1242">
        <v>0</v>
      </c>
      <c r="HT30" s="1242">
        <v>6.25</v>
      </c>
      <c r="HU30" s="1242">
        <v>0</v>
      </c>
      <c r="HV30" s="1242">
        <v>6.25</v>
      </c>
      <c r="HW30" s="1242">
        <v>5</v>
      </c>
      <c r="HX30" s="1242" t="s">
        <v>116</v>
      </c>
      <c r="HY30" s="1248" t="s">
        <v>116</v>
      </c>
      <c r="HZ30" s="1248" t="s">
        <v>1623</v>
      </c>
      <c r="IA30" s="1248" t="s">
        <v>116</v>
      </c>
      <c r="IB30" s="1248"/>
      <c r="IC30" s="1248"/>
      <c r="ID30" s="1247"/>
      <c r="IE30" s="1241" t="s">
        <v>1415</v>
      </c>
      <c r="IF30" s="1242" t="s">
        <v>35</v>
      </c>
      <c r="IG30" s="1243">
        <v>6</v>
      </c>
      <c r="IH30" s="1244">
        <v>0.375</v>
      </c>
      <c r="II30" s="1242">
        <v>7</v>
      </c>
      <c r="IJ30" s="1243">
        <v>6</v>
      </c>
      <c r="IK30" s="1244">
        <v>2.75</v>
      </c>
      <c r="IL30" s="1242">
        <v>5</v>
      </c>
      <c r="IM30" s="1242">
        <v>6</v>
      </c>
      <c r="IN30" s="1242" t="s">
        <v>116</v>
      </c>
      <c r="IO30" s="1242" t="s">
        <v>35</v>
      </c>
      <c r="IP30" s="1242">
        <v>5</v>
      </c>
      <c r="IQ30" s="1242">
        <v>13</v>
      </c>
      <c r="IR30" s="1242">
        <v>4</v>
      </c>
      <c r="IS30" s="1243">
        <v>1.75</v>
      </c>
      <c r="IT30" s="1244" t="s">
        <v>116</v>
      </c>
      <c r="IU30" s="1242">
        <v>54</v>
      </c>
      <c r="IV30" s="1242">
        <v>8</v>
      </c>
      <c r="IW30" s="1243">
        <v>13.8</v>
      </c>
      <c r="IX30" s="1244" t="s">
        <v>35</v>
      </c>
      <c r="IY30" s="1242" t="s">
        <v>116</v>
      </c>
      <c r="IZ30" s="1242" t="s">
        <v>116</v>
      </c>
      <c r="JA30" s="1243" t="s">
        <v>116</v>
      </c>
      <c r="JB30" s="1244" t="s">
        <v>116</v>
      </c>
      <c r="JC30" s="1242" t="s">
        <v>116</v>
      </c>
      <c r="JD30" s="1242" t="s">
        <v>116</v>
      </c>
      <c r="JE30" s="1243" t="s">
        <v>116</v>
      </c>
      <c r="JF30" s="1244" t="s">
        <v>116</v>
      </c>
      <c r="JG30" s="1242" t="s">
        <v>116</v>
      </c>
      <c r="JH30" s="1242" t="s">
        <v>116</v>
      </c>
      <c r="JI30" s="1242" t="s">
        <v>116</v>
      </c>
      <c r="JJ30" s="1248" t="s">
        <v>116</v>
      </c>
      <c r="JK30" s="1242">
        <v>1</v>
      </c>
      <c r="JL30" s="1171">
        <f t="shared" ca="1" si="35"/>
        <v>1</v>
      </c>
    </row>
    <row r="31" spans="1:274" s="145" customFormat="1" ht="12.6" customHeight="1" x14ac:dyDescent="0.25">
      <c r="A31" s="1448" t="s">
        <v>1404</v>
      </c>
      <c r="B31" s="1681">
        <v>1</v>
      </c>
      <c r="C31" s="1449" t="s">
        <v>1778</v>
      </c>
      <c r="D31" s="1705">
        <v>55</v>
      </c>
      <c r="E31" s="1706">
        <v>10.875</v>
      </c>
      <c r="F31" s="1707">
        <v>11.125</v>
      </c>
      <c r="G31" s="1708">
        <v>0</v>
      </c>
      <c r="H31" s="1709">
        <v>1.75</v>
      </c>
      <c r="I31" s="1710" t="s">
        <v>113</v>
      </c>
      <c r="J31" s="1705" t="str">
        <f t="shared" ref="J31:J44" si="76">IF(DJ71=0,"",TRUNC(DJ71/12))</f>
        <v/>
      </c>
      <c r="K31" s="1709" t="str">
        <f t="shared" ref="K31:K44" si="77">IF(DJ71=0,"",DJ71-(J31*12))</f>
        <v/>
      </c>
      <c r="L31" s="1711" t="str">
        <f t="shared" ref="L31:L44" si="78">IF(DJ71=0,"",CN71)</f>
        <v/>
      </c>
      <c r="M31" s="1712">
        <v>7.5</v>
      </c>
      <c r="N31" s="1713">
        <v>10</v>
      </c>
      <c r="O31" s="1708">
        <v>0</v>
      </c>
      <c r="P31" s="1709">
        <v>6.75</v>
      </c>
      <c r="Q31" s="1705">
        <v>0</v>
      </c>
      <c r="R31" s="1706">
        <v>6.125</v>
      </c>
      <c r="S31" s="1714">
        <v>0</v>
      </c>
      <c r="T31" s="1709">
        <v>6.25</v>
      </c>
      <c r="U31" s="1705">
        <v>0</v>
      </c>
      <c r="V31" s="1709">
        <v>2.125</v>
      </c>
      <c r="W31" s="1713">
        <v>5</v>
      </c>
      <c r="X31" s="1715" t="str">
        <f t="shared" si="48"/>
        <v/>
      </c>
      <c r="Y31" s="1716" t="str">
        <f t="shared" si="49"/>
        <v/>
      </c>
      <c r="Z31" s="1717" t="s">
        <v>1784</v>
      </c>
      <c r="AA31" s="1718" t="str">
        <f t="shared" si="50"/>
        <v/>
      </c>
      <c r="AB31" s="1448" t="s">
        <v>1416</v>
      </c>
      <c r="AC31" s="1710" t="s">
        <v>35</v>
      </c>
      <c r="AD31" s="1705">
        <v>6</v>
      </c>
      <c r="AE31" s="1709">
        <v>0.375</v>
      </c>
      <c r="AF31" s="1710">
        <v>7</v>
      </c>
      <c r="AG31" s="1705">
        <v>6</v>
      </c>
      <c r="AH31" s="1709">
        <v>2.75</v>
      </c>
      <c r="AI31" s="1705">
        <v>6</v>
      </c>
      <c r="AJ31" s="1709">
        <v>0.375</v>
      </c>
      <c r="AK31" s="1747" t="str">
        <f t="shared" si="12"/>
        <v/>
      </c>
      <c r="AL31" s="1748" t="s">
        <v>35</v>
      </c>
      <c r="AM31" s="1749">
        <v>5</v>
      </c>
      <c r="AN31" s="1710">
        <v>13</v>
      </c>
      <c r="AO31" s="1750">
        <v>4</v>
      </c>
      <c r="AP31" s="1712">
        <v>1.75</v>
      </c>
      <c r="AQ31" s="1751">
        <v>1.75</v>
      </c>
      <c r="AR31" s="1708" t="str">
        <f t="shared" si="13"/>
        <v/>
      </c>
      <c r="AS31" s="1709" t="str">
        <f t="shared" si="14"/>
        <v/>
      </c>
      <c r="AT31" s="1752" t="str">
        <f t="shared" si="15"/>
        <v/>
      </c>
      <c r="AU31" s="1753" t="str">
        <f t="shared" si="4"/>
        <v/>
      </c>
      <c r="AV31" s="1714" t="str">
        <f t="shared" si="16"/>
        <v/>
      </c>
      <c r="AW31" s="1709" t="str">
        <f t="shared" si="17"/>
        <v/>
      </c>
      <c r="AX31" s="1752" t="str">
        <f t="shared" si="18"/>
        <v/>
      </c>
      <c r="AY31" s="1753" t="str">
        <f t="shared" si="5"/>
        <v/>
      </c>
      <c r="AZ31" s="1714" t="str">
        <f t="shared" si="19"/>
        <v/>
      </c>
      <c r="BA31" s="1709" t="str">
        <f t="shared" si="20"/>
        <v/>
      </c>
      <c r="BB31" s="1752" t="str">
        <f t="shared" si="21"/>
        <v/>
      </c>
      <c r="BC31" s="1753" t="str">
        <f t="shared" si="6"/>
        <v/>
      </c>
      <c r="BD31" s="1714" t="str">
        <f t="shared" si="22"/>
        <v/>
      </c>
      <c r="BE31" s="1709" t="str">
        <f t="shared" si="23"/>
        <v/>
      </c>
      <c r="BF31" s="1752" t="str">
        <f t="shared" si="24"/>
        <v/>
      </c>
      <c r="BG31" s="1753" t="str">
        <f t="shared" si="7"/>
        <v/>
      </c>
      <c r="BH31" s="262"/>
      <c r="BJ31" s="1301" t="str">
        <f t="shared" si="75"/>
        <v>G4</v>
      </c>
      <c r="BK31" s="993" t="b">
        <f t="shared" ref="BK31:BK45" si="79">IF($BK$1,IF(BJ31=BJ30,BK30,IF(AND(BJ31&lt;&gt;"",OR(B31=0,B31="")),TRUE,FALSE)),FALSE)</f>
        <v>0</v>
      </c>
      <c r="BL31" s="1800" t="b">
        <v>0</v>
      </c>
      <c r="BM31" s="989">
        <f t="shared" si="64"/>
        <v>48</v>
      </c>
      <c r="BN31" s="989" t="str">
        <f t="shared" si="65"/>
        <v>VG</v>
      </c>
      <c r="BO31" s="989">
        <f t="shared" si="66"/>
        <v>9</v>
      </c>
      <c r="BP31" s="989" t="str">
        <f t="shared" si="51"/>
        <v>16.3/9.7</v>
      </c>
      <c r="BQ31" s="989">
        <f t="shared" si="67"/>
        <v>0</v>
      </c>
      <c r="BR31" s="989" t="b">
        <f t="shared" si="68"/>
        <v>1</v>
      </c>
      <c r="BS31" s="1302">
        <f t="shared" si="69"/>
        <v>7.75</v>
      </c>
      <c r="BT31" s="990" t="str">
        <f t="shared" si="70"/>
        <v>Yes</v>
      </c>
      <c r="BU31" s="1302">
        <f t="shared" si="71"/>
        <v>6</v>
      </c>
      <c r="BV31" s="990" t="str">
        <f t="shared" si="72"/>
        <v>Yes</v>
      </c>
      <c r="BW31" s="991">
        <f t="shared" si="25"/>
        <v>15</v>
      </c>
      <c r="BX31" s="991" t="str">
        <f t="shared" si="32"/>
        <v>G16</v>
      </c>
      <c r="BY31" s="991" t="b">
        <f t="shared" si="26"/>
        <v>0</v>
      </c>
      <c r="BZ31" s="1303" t="b">
        <f t="shared" si="33"/>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73"/>
        <v/>
      </c>
      <c r="EN31" s="1632" t="str">
        <f t="shared" si="52"/>
        <v/>
      </c>
      <c r="EO31" s="648" t="str">
        <f t="shared" si="53"/>
        <v/>
      </c>
      <c r="EP31" s="649" t="str">
        <f t="shared" si="54"/>
        <v/>
      </c>
      <c r="EQ31" s="813" t="str">
        <f t="shared" si="55"/>
        <v/>
      </c>
      <c r="ER31" s="1590" t="str">
        <f t="shared" si="56"/>
        <v/>
      </c>
      <c r="ES31" s="1591" t="str">
        <f t="shared" si="57"/>
        <v/>
      </c>
      <c r="ET31" s="1588" t="str">
        <f t="shared" si="58"/>
        <v/>
      </c>
      <c r="EU31" s="1589" t="str">
        <f t="shared" si="59"/>
        <v/>
      </c>
      <c r="EV31" s="130"/>
      <c r="EW31" s="130"/>
      <c r="EX31" s="503" t="str">
        <f t="shared" si="27"/>
        <v>G16B</v>
      </c>
      <c r="EY31" s="940" t="b">
        <f t="shared" ca="1" si="8"/>
        <v>1</v>
      </c>
      <c r="EZ31" s="940">
        <f t="shared" si="28"/>
        <v>5</v>
      </c>
      <c r="FA31" s="958" t="b">
        <f t="shared" si="34"/>
        <v>1</v>
      </c>
      <c r="FB31" s="134">
        <f t="shared" si="29"/>
        <v>668</v>
      </c>
      <c r="FC31" s="134">
        <f t="shared" si="9"/>
        <v>72.375</v>
      </c>
      <c r="FD31" s="134">
        <f t="shared" si="10"/>
        <v>523.25</v>
      </c>
      <c r="FE31" s="134">
        <f t="shared" si="11"/>
        <v>72.375</v>
      </c>
      <c r="FF31" s="134">
        <f t="shared" si="30"/>
        <v>668</v>
      </c>
      <c r="FN31" s="993" t="b">
        <v>0</v>
      </c>
      <c r="FO31" s="755" t="b">
        <f t="shared" si="74"/>
        <v>1</v>
      </c>
      <c r="FP31" s="754" t="b">
        <v>0</v>
      </c>
      <c r="FQ31" s="755" t="b">
        <f t="shared" si="31"/>
        <v>1</v>
      </c>
      <c r="FX31" s="197"/>
      <c r="FZ31" s="2"/>
      <c r="GA31" s="1761">
        <v>56</v>
      </c>
      <c r="GB31" s="1762">
        <v>0</v>
      </c>
      <c r="GC31" s="1763">
        <v>-0.25</v>
      </c>
      <c r="GD31" s="1764">
        <v>-0.875</v>
      </c>
      <c r="GE31" s="1765">
        <f t="shared" si="60"/>
        <v>0</v>
      </c>
      <c r="GF31" s="582" t="str">
        <f t="shared" si="61"/>
        <v>G4</v>
      </c>
      <c r="GG31" s="692">
        <v>0</v>
      </c>
      <c r="GH31" s="1135">
        <v>0</v>
      </c>
      <c r="GI31" s="692"/>
      <c r="GJ31" s="1135"/>
      <c r="GK31" s="1640">
        <f t="shared" si="62"/>
        <v>670.875</v>
      </c>
      <c r="GL31" s="1640">
        <f t="shared" si="63"/>
        <v>670.875</v>
      </c>
      <c r="GM31" s="1641">
        <f>IF(ABS(GK31-GL31)&gt;='Job Info.'!$L$22,ABS(GK31-GL31),0)</f>
        <v>0</v>
      </c>
      <c r="GZ31" s="130"/>
      <c r="HA31" s="1241" t="s">
        <v>1404</v>
      </c>
      <c r="HB31" s="1242">
        <v>1</v>
      </c>
      <c r="HC31" s="1242" t="s">
        <v>1577</v>
      </c>
      <c r="HD31" s="1243">
        <v>55</v>
      </c>
      <c r="HE31" s="1244">
        <v>10.875</v>
      </c>
      <c r="HF31" s="1242">
        <v>11.125</v>
      </c>
      <c r="HG31" s="1242">
        <v>0</v>
      </c>
      <c r="HH31" s="1242">
        <v>1.75</v>
      </c>
      <c r="HI31" s="1242" t="s">
        <v>113</v>
      </c>
      <c r="HJ31" s="1242" t="s">
        <v>116</v>
      </c>
      <c r="HK31" s="1242" t="s">
        <v>116</v>
      </c>
      <c r="HL31" s="1242" t="s">
        <v>116</v>
      </c>
      <c r="HM31" s="1242">
        <v>7.5</v>
      </c>
      <c r="HN31" s="1242">
        <v>10</v>
      </c>
      <c r="HO31" s="1242">
        <v>0</v>
      </c>
      <c r="HP31" s="1242">
        <v>6.75</v>
      </c>
      <c r="HQ31" s="1242">
        <v>0</v>
      </c>
      <c r="HR31" s="1242">
        <v>6.125</v>
      </c>
      <c r="HS31" s="1242">
        <v>0</v>
      </c>
      <c r="HT31" s="1242">
        <v>6.25</v>
      </c>
      <c r="HU31" s="1242">
        <v>0</v>
      </c>
      <c r="HV31" s="1242">
        <v>2.125</v>
      </c>
      <c r="HW31" s="1242">
        <v>5</v>
      </c>
      <c r="HX31" s="1242" t="s">
        <v>116</v>
      </c>
      <c r="HY31" s="1248" t="s">
        <v>116</v>
      </c>
      <c r="HZ31" s="1248" t="s">
        <v>1624</v>
      </c>
      <c r="IA31" s="1248" t="s">
        <v>116</v>
      </c>
      <c r="IB31" s="1248"/>
      <c r="IC31" s="1248"/>
      <c r="ID31" s="1247"/>
      <c r="IE31" s="1241" t="s">
        <v>1416</v>
      </c>
      <c r="IF31" s="1242" t="s">
        <v>35</v>
      </c>
      <c r="IG31" s="1243">
        <v>6</v>
      </c>
      <c r="IH31" s="1244">
        <v>0.375</v>
      </c>
      <c r="II31" s="1242">
        <v>7</v>
      </c>
      <c r="IJ31" s="1243">
        <v>6</v>
      </c>
      <c r="IK31" s="1244">
        <v>2.75</v>
      </c>
      <c r="IL31" s="1242">
        <v>6</v>
      </c>
      <c r="IM31" s="1242">
        <v>0.375</v>
      </c>
      <c r="IN31" s="1242" t="s">
        <v>116</v>
      </c>
      <c r="IO31" s="1242" t="s">
        <v>35</v>
      </c>
      <c r="IP31" s="1242">
        <v>5</v>
      </c>
      <c r="IQ31" s="1242">
        <v>13</v>
      </c>
      <c r="IR31" s="1242">
        <v>4</v>
      </c>
      <c r="IS31" s="1243">
        <v>1.75</v>
      </c>
      <c r="IT31" s="1244">
        <v>1.75</v>
      </c>
      <c r="IU31" s="1242" t="s">
        <v>116</v>
      </c>
      <c r="IV31" s="1242" t="s">
        <v>116</v>
      </c>
      <c r="IW31" s="1243" t="s">
        <v>116</v>
      </c>
      <c r="IX31" s="1244" t="s">
        <v>116</v>
      </c>
      <c r="IY31" s="1242" t="s">
        <v>116</v>
      </c>
      <c r="IZ31" s="1242" t="s">
        <v>116</v>
      </c>
      <c r="JA31" s="1243" t="s">
        <v>116</v>
      </c>
      <c r="JB31" s="1244" t="s">
        <v>116</v>
      </c>
      <c r="JC31" s="1242" t="s">
        <v>116</v>
      </c>
      <c r="JD31" s="1242" t="s">
        <v>116</v>
      </c>
      <c r="JE31" s="1243" t="s">
        <v>116</v>
      </c>
      <c r="JF31" s="1244" t="s">
        <v>116</v>
      </c>
      <c r="JG31" s="1242" t="s">
        <v>116</v>
      </c>
      <c r="JH31" s="1242" t="s">
        <v>116</v>
      </c>
      <c r="JI31" s="1242" t="s">
        <v>116</v>
      </c>
      <c r="JJ31" s="1248" t="s">
        <v>116</v>
      </c>
      <c r="JK31" s="1242">
        <v>1</v>
      </c>
      <c r="JL31" s="1171">
        <f t="shared" ca="1" si="35"/>
        <v>1</v>
      </c>
    </row>
    <row r="32" spans="1:274" ht="12.6" customHeight="1" x14ac:dyDescent="0.25">
      <c r="A32" s="1448" t="s">
        <v>1405</v>
      </c>
      <c r="B32" s="1681">
        <v>1</v>
      </c>
      <c r="C32" s="1449" t="s">
        <v>1778</v>
      </c>
      <c r="D32" s="1705">
        <v>55</v>
      </c>
      <c r="E32" s="1706">
        <v>8.75</v>
      </c>
      <c r="F32" s="1707">
        <v>11.125</v>
      </c>
      <c r="G32" s="1708">
        <v>0</v>
      </c>
      <c r="H32" s="1709">
        <v>1.75</v>
      </c>
      <c r="I32" s="1710" t="s">
        <v>113</v>
      </c>
      <c r="J32" s="1705">
        <v>0</v>
      </c>
      <c r="K32" s="1709">
        <v>5</v>
      </c>
      <c r="L32" s="1711" t="s">
        <v>113</v>
      </c>
      <c r="M32" s="1712">
        <v>7.5</v>
      </c>
      <c r="N32" s="1713">
        <v>10</v>
      </c>
      <c r="O32" s="1708">
        <v>0</v>
      </c>
      <c r="P32" s="1709">
        <v>6.75</v>
      </c>
      <c r="Q32" s="1705">
        <v>0</v>
      </c>
      <c r="R32" s="1706">
        <v>4</v>
      </c>
      <c r="S32" s="1714">
        <v>0</v>
      </c>
      <c r="T32" s="1709">
        <v>6.25</v>
      </c>
      <c r="U32" s="1705">
        <v>0</v>
      </c>
      <c r="V32" s="1709">
        <v>4.625</v>
      </c>
      <c r="W32" s="1713">
        <v>5</v>
      </c>
      <c r="X32" s="1715" t="str">
        <f t="shared" si="48"/>
        <v/>
      </c>
      <c r="Y32" s="1716" t="str">
        <f t="shared" si="49"/>
        <v/>
      </c>
      <c r="Z32" s="2665" t="s">
        <v>1785</v>
      </c>
      <c r="AA32" s="1718" t="str">
        <f t="shared" si="50"/>
        <v/>
      </c>
      <c r="AB32" s="1448" t="str">
        <f t="shared" si="37"/>
        <v/>
      </c>
      <c r="AC32" s="1710" t="str">
        <f t="shared" si="38"/>
        <v/>
      </c>
      <c r="AD32" s="1705" t="str">
        <f t="shared" ca="1" si="39"/>
        <v/>
      </c>
      <c r="AE32" s="1709" t="str">
        <f t="shared" ca="1" si="40"/>
        <v/>
      </c>
      <c r="AF32" s="1710" t="str">
        <f t="shared" ca="1" si="41"/>
        <v/>
      </c>
      <c r="AG32" s="1705" t="str">
        <f t="shared" ca="1" si="42"/>
        <v/>
      </c>
      <c r="AH32" s="1709" t="str">
        <f t="shared" ca="1" si="43"/>
        <v/>
      </c>
      <c r="AI32" s="1705" t="str">
        <f t="shared" ca="1" si="44"/>
        <v/>
      </c>
      <c r="AJ32" s="1709" t="str">
        <f t="shared" ca="1" si="45"/>
        <v/>
      </c>
      <c r="AK32" s="1747" t="str">
        <f t="shared" si="12"/>
        <v/>
      </c>
      <c r="AL32" s="1748" t="str">
        <f t="shared" si="46"/>
        <v/>
      </c>
      <c r="AM32" s="1749" t="str">
        <f t="shared" ref="AM32:AO45" si="80">IF(ISBLANK(DQ32),"",DQ32)</f>
        <v/>
      </c>
      <c r="AN32" s="1710" t="str">
        <f t="shared" si="80"/>
        <v/>
      </c>
      <c r="AO32" s="1750" t="str">
        <f t="shared" si="80"/>
        <v/>
      </c>
      <c r="AP32" s="1712" t="str">
        <f t="shared" si="3"/>
        <v/>
      </c>
      <c r="AQ32" s="1751" t="str">
        <f t="shared" si="3"/>
        <v/>
      </c>
      <c r="AR32" s="1708" t="str">
        <f t="shared" si="13"/>
        <v/>
      </c>
      <c r="AS32" s="1709" t="str">
        <f t="shared" si="14"/>
        <v/>
      </c>
      <c r="AT32" s="1752" t="str">
        <f t="shared" si="15"/>
        <v/>
      </c>
      <c r="AU32" s="1753" t="str">
        <f t="shared" si="4"/>
        <v/>
      </c>
      <c r="AV32" s="1714" t="str">
        <f t="shared" si="16"/>
        <v/>
      </c>
      <c r="AW32" s="1709" t="str">
        <f t="shared" si="17"/>
        <v/>
      </c>
      <c r="AX32" s="1752" t="str">
        <f t="shared" si="18"/>
        <v/>
      </c>
      <c r="AY32" s="1753" t="str">
        <f t="shared" si="5"/>
        <v/>
      </c>
      <c r="AZ32" s="1714" t="str">
        <f t="shared" si="19"/>
        <v/>
      </c>
      <c r="BA32" s="1709" t="str">
        <f t="shared" si="20"/>
        <v/>
      </c>
      <c r="BB32" s="1752" t="str">
        <f t="shared" si="21"/>
        <v/>
      </c>
      <c r="BC32" s="1753" t="str">
        <f t="shared" si="6"/>
        <v/>
      </c>
      <c r="BD32" s="1714" t="str">
        <f t="shared" si="22"/>
        <v/>
      </c>
      <c r="BE32" s="1709" t="str">
        <f t="shared" si="23"/>
        <v/>
      </c>
      <c r="BF32" s="1752" t="str">
        <f t="shared" si="24"/>
        <v/>
      </c>
      <c r="BG32" s="1753" t="str">
        <f t="shared" si="7"/>
        <v/>
      </c>
      <c r="BH32" s="261"/>
      <c r="BJ32" s="1301" t="str">
        <f t="shared" si="75"/>
        <v>G5</v>
      </c>
      <c r="BK32" s="993" t="b">
        <f t="shared" si="79"/>
        <v>0</v>
      </c>
      <c r="BL32" s="1800" t="b">
        <v>0</v>
      </c>
      <c r="BM32" s="989">
        <f t="shared" si="64"/>
        <v>48</v>
      </c>
      <c r="BN32" s="989" t="str">
        <f t="shared" si="65"/>
        <v>VG</v>
      </c>
      <c r="BO32" s="989">
        <f t="shared" si="66"/>
        <v>9</v>
      </c>
      <c r="BP32" s="989" t="str">
        <f t="shared" si="51"/>
        <v>16.3/9.7</v>
      </c>
      <c r="BQ32" s="989">
        <f t="shared" si="67"/>
        <v>0</v>
      </c>
      <c r="BR32" s="989" t="b">
        <f t="shared" si="68"/>
        <v>1</v>
      </c>
      <c r="BS32" s="1302">
        <f t="shared" si="69"/>
        <v>7.75</v>
      </c>
      <c r="BT32" s="990" t="str">
        <f t="shared" si="70"/>
        <v>Yes</v>
      </c>
      <c r="BU32" s="1302">
        <f t="shared" si="71"/>
        <v>11</v>
      </c>
      <c r="BV32" s="990" t="str">
        <f t="shared" si="72"/>
        <v>Yes</v>
      </c>
      <c r="BW32" s="991">
        <f t="shared" ca="1" si="25"/>
        <v>0</v>
      </c>
      <c r="BX32" s="991" t="str">
        <f t="shared" ca="1" si="32"/>
        <v/>
      </c>
      <c r="BY32" s="991" t="b">
        <f t="shared" ca="1" si="26"/>
        <v>0</v>
      </c>
      <c r="BZ32" s="1303" t="b">
        <f t="shared" si="33"/>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73"/>
        <v/>
      </c>
      <c r="EN32" s="1632" t="str">
        <f t="shared" si="52"/>
        <v/>
      </c>
      <c r="EO32" s="648" t="str">
        <f t="shared" si="53"/>
        <v/>
      </c>
      <c r="EP32" s="649" t="str">
        <f t="shared" si="54"/>
        <v/>
      </c>
      <c r="EQ32" s="813" t="str">
        <f t="shared" si="55"/>
        <v/>
      </c>
      <c r="ER32" s="1586" t="str">
        <f t="shared" si="56"/>
        <v/>
      </c>
      <c r="ES32" s="1587" t="str">
        <f t="shared" si="57"/>
        <v/>
      </c>
      <c r="ET32" s="1588" t="str">
        <f t="shared" si="58"/>
        <v/>
      </c>
      <c r="EU32" s="1589" t="str">
        <f t="shared" si="59"/>
        <v/>
      </c>
      <c r="EX32" s="503" t="str">
        <f t="shared" ca="1" si="27"/>
        <v/>
      </c>
      <c r="EY32" s="940" t="str">
        <f t="shared" si="8"/>
        <v/>
      </c>
      <c r="EZ32" s="940" t="str">
        <f t="shared" si="28"/>
        <v/>
      </c>
      <c r="FA32" s="958" t="str">
        <f t="shared" ca="1" si="34"/>
        <v/>
      </c>
      <c r="FB32" s="134" t="str">
        <f t="shared" ca="1" si="29"/>
        <v/>
      </c>
      <c r="FC32" s="134">
        <f t="shared" ca="1" si="9"/>
        <v>0</v>
      </c>
      <c r="FD32" s="134">
        <f t="shared" ca="1" si="10"/>
        <v>0</v>
      </c>
      <c r="FE32" s="134">
        <f t="shared" ca="1" si="11"/>
        <v>0</v>
      </c>
      <c r="FF32" s="134">
        <f t="shared" ca="1" si="30"/>
        <v>0</v>
      </c>
      <c r="FN32" s="993" t="b">
        <v>0</v>
      </c>
      <c r="FO32" s="754" t="b">
        <f t="shared" si="74"/>
        <v>1</v>
      </c>
      <c r="FP32" s="754" t="b">
        <v>0</v>
      </c>
      <c r="FQ32" s="754" t="b">
        <f t="shared" si="31"/>
        <v>1</v>
      </c>
      <c r="FX32" s="197"/>
      <c r="FZ32" s="2"/>
      <c r="GA32" s="1761">
        <v>56</v>
      </c>
      <c r="GB32" s="1762">
        <v>0</v>
      </c>
      <c r="GC32" s="1763">
        <v>-0.25</v>
      </c>
      <c r="GD32" s="1764">
        <v>-3</v>
      </c>
      <c r="GE32" s="1765">
        <f t="shared" si="60"/>
        <v>0</v>
      </c>
      <c r="GF32" s="582" t="str">
        <f t="shared" si="61"/>
        <v>G5</v>
      </c>
      <c r="GG32" s="692">
        <v>0</v>
      </c>
      <c r="GH32" s="1135">
        <v>0</v>
      </c>
      <c r="GI32" s="692"/>
      <c r="GJ32" s="1135"/>
      <c r="GK32" s="1640">
        <f t="shared" si="62"/>
        <v>668.75</v>
      </c>
      <c r="GL32" s="1640">
        <f t="shared" si="63"/>
        <v>668.75</v>
      </c>
      <c r="GM32" s="1641">
        <f>IF(ABS(GK32-GL32)&gt;='Job Info.'!$L$22,ABS(GK32-GL32),0)</f>
        <v>0</v>
      </c>
      <c r="HA32" s="1241" t="s">
        <v>1405</v>
      </c>
      <c r="HB32" s="1242">
        <v>1</v>
      </c>
      <c r="HC32" s="1242" t="s">
        <v>1577</v>
      </c>
      <c r="HD32" s="1243">
        <v>55</v>
      </c>
      <c r="HE32" s="1244">
        <v>8.75</v>
      </c>
      <c r="HF32" s="1242">
        <v>11.125</v>
      </c>
      <c r="HG32" s="1242">
        <v>0</v>
      </c>
      <c r="HH32" s="1242">
        <v>1.75</v>
      </c>
      <c r="HI32" s="1242" t="s">
        <v>113</v>
      </c>
      <c r="HJ32" s="1242">
        <v>0</v>
      </c>
      <c r="HK32" s="1242">
        <v>5</v>
      </c>
      <c r="HL32" s="1242" t="s">
        <v>113</v>
      </c>
      <c r="HM32" s="1242">
        <v>7.5</v>
      </c>
      <c r="HN32" s="1242">
        <v>10</v>
      </c>
      <c r="HO32" s="1242">
        <v>0</v>
      </c>
      <c r="HP32" s="1242">
        <v>6.75</v>
      </c>
      <c r="HQ32" s="1242">
        <v>0</v>
      </c>
      <c r="HR32" s="1242">
        <v>4</v>
      </c>
      <c r="HS32" s="1242">
        <v>0</v>
      </c>
      <c r="HT32" s="1242">
        <v>6.25</v>
      </c>
      <c r="HU32" s="1242">
        <v>0</v>
      </c>
      <c r="HV32" s="1242">
        <v>4.625</v>
      </c>
      <c r="HW32" s="1242">
        <v>5</v>
      </c>
      <c r="HX32" s="1242" t="s">
        <v>116</v>
      </c>
      <c r="HY32" s="1246" t="s">
        <v>116</v>
      </c>
      <c r="HZ32" s="1246" t="s">
        <v>1625</v>
      </c>
      <c r="IA32" s="1246" t="s">
        <v>116</v>
      </c>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35"/>
        <v>0</v>
      </c>
    </row>
    <row r="33" spans="1:272" ht="12.6" customHeight="1" x14ac:dyDescent="0.25">
      <c r="A33" s="1448" t="s">
        <v>1406</v>
      </c>
      <c r="B33" s="1681">
        <v>1</v>
      </c>
      <c r="C33" s="1449" t="s">
        <v>1778</v>
      </c>
      <c r="D33" s="1705">
        <v>55</v>
      </c>
      <c r="E33" s="1706">
        <v>11.5</v>
      </c>
      <c r="F33" s="1707">
        <v>11.125</v>
      </c>
      <c r="G33" s="1708">
        <v>0</v>
      </c>
      <c r="H33" s="1709">
        <v>1.75</v>
      </c>
      <c r="I33" s="1710" t="s">
        <v>113</v>
      </c>
      <c r="J33" s="1705">
        <v>0</v>
      </c>
      <c r="K33" s="1709">
        <v>1.75</v>
      </c>
      <c r="L33" s="1711" t="s">
        <v>113</v>
      </c>
      <c r="M33" s="1712">
        <v>7.5</v>
      </c>
      <c r="N33" s="1713">
        <v>7.5</v>
      </c>
      <c r="O33" s="1708">
        <v>0</v>
      </c>
      <c r="P33" s="1709">
        <v>6.75</v>
      </c>
      <c r="Q33" s="1705">
        <v>0</v>
      </c>
      <c r="R33" s="1706">
        <v>6.75</v>
      </c>
      <c r="S33" s="1714">
        <v>0</v>
      </c>
      <c r="T33" s="1709">
        <v>6.25</v>
      </c>
      <c r="U33" s="1705">
        <v>0</v>
      </c>
      <c r="V33" s="1709">
        <v>6.25</v>
      </c>
      <c r="W33" s="1713">
        <v>5</v>
      </c>
      <c r="X33" s="1715" t="str">
        <f t="shared" si="48"/>
        <v/>
      </c>
      <c r="Y33" s="1716" t="str">
        <f t="shared" si="49"/>
        <v/>
      </c>
      <c r="Z33" s="1717" t="s">
        <v>1786</v>
      </c>
      <c r="AA33" s="1718" t="str">
        <f t="shared" si="50"/>
        <v/>
      </c>
      <c r="AB33" s="1448" t="str">
        <f t="shared" si="37"/>
        <v/>
      </c>
      <c r="AC33" s="1710" t="str">
        <f t="shared" si="38"/>
        <v/>
      </c>
      <c r="AD33" s="1705" t="str">
        <f t="shared" ca="1" si="39"/>
        <v/>
      </c>
      <c r="AE33" s="1709" t="str">
        <f t="shared" ca="1" si="40"/>
        <v/>
      </c>
      <c r="AF33" s="1710" t="str">
        <f t="shared" ca="1" si="41"/>
        <v/>
      </c>
      <c r="AG33" s="1705" t="str">
        <f t="shared" ca="1" si="42"/>
        <v/>
      </c>
      <c r="AH33" s="1709" t="str">
        <f t="shared" ca="1" si="43"/>
        <v/>
      </c>
      <c r="AI33" s="1705" t="str">
        <f t="shared" ca="1" si="44"/>
        <v/>
      </c>
      <c r="AJ33" s="1709" t="str">
        <f t="shared" ca="1" si="45"/>
        <v/>
      </c>
      <c r="AK33" s="1747" t="str">
        <f t="shared" si="12"/>
        <v/>
      </c>
      <c r="AL33" s="1748" t="str">
        <f t="shared" si="46"/>
        <v/>
      </c>
      <c r="AM33" s="1749" t="str">
        <f t="shared" si="80"/>
        <v/>
      </c>
      <c r="AN33" s="1710" t="str">
        <f t="shared" si="80"/>
        <v/>
      </c>
      <c r="AO33" s="1750" t="str">
        <f t="shared" si="80"/>
        <v/>
      </c>
      <c r="AP33" s="1712" t="str">
        <f t="shared" si="3"/>
        <v/>
      </c>
      <c r="AQ33" s="1751" t="str">
        <f t="shared" si="3"/>
        <v/>
      </c>
      <c r="AR33" s="1708" t="str">
        <f t="shared" si="13"/>
        <v/>
      </c>
      <c r="AS33" s="1709" t="str">
        <f t="shared" si="14"/>
        <v/>
      </c>
      <c r="AT33" s="1752" t="str">
        <f t="shared" si="15"/>
        <v/>
      </c>
      <c r="AU33" s="1753" t="str">
        <f t="shared" si="4"/>
        <v/>
      </c>
      <c r="AV33" s="1714" t="str">
        <f t="shared" si="16"/>
        <v/>
      </c>
      <c r="AW33" s="1709" t="str">
        <f t="shared" si="17"/>
        <v/>
      </c>
      <c r="AX33" s="1752" t="str">
        <f t="shared" si="18"/>
        <v/>
      </c>
      <c r="AY33" s="1753" t="str">
        <f t="shared" si="5"/>
        <v/>
      </c>
      <c r="AZ33" s="1714" t="str">
        <f t="shared" si="19"/>
        <v/>
      </c>
      <c r="BA33" s="1709" t="str">
        <f t="shared" si="20"/>
        <v/>
      </c>
      <c r="BB33" s="1752" t="str">
        <f t="shared" si="21"/>
        <v/>
      </c>
      <c r="BC33" s="1753" t="str">
        <f t="shared" si="6"/>
        <v/>
      </c>
      <c r="BD33" s="1714" t="str">
        <f t="shared" si="22"/>
        <v/>
      </c>
      <c r="BE33" s="1709" t="str">
        <f t="shared" si="23"/>
        <v/>
      </c>
      <c r="BF33" s="1752" t="str">
        <f t="shared" si="24"/>
        <v/>
      </c>
      <c r="BG33" s="1753" t="str">
        <f t="shared" si="7"/>
        <v/>
      </c>
      <c r="BH33" s="261"/>
      <c r="BJ33" s="1301" t="str">
        <f t="shared" si="75"/>
        <v>G6</v>
      </c>
      <c r="BK33" s="993" t="b">
        <f t="shared" si="79"/>
        <v>0</v>
      </c>
      <c r="BL33" s="1800" t="b">
        <v>0</v>
      </c>
      <c r="BM33" s="989">
        <f t="shared" si="64"/>
        <v>48</v>
      </c>
      <c r="BN33" s="989" t="str">
        <f t="shared" si="65"/>
        <v>VG</v>
      </c>
      <c r="BO33" s="989">
        <f t="shared" si="66"/>
        <v>9</v>
      </c>
      <c r="BP33" s="989" t="str">
        <f t="shared" si="51"/>
        <v>16.3/9.7</v>
      </c>
      <c r="BQ33" s="989">
        <f t="shared" si="67"/>
        <v>0</v>
      </c>
      <c r="BR33" s="989" t="b">
        <f t="shared" si="68"/>
        <v>1</v>
      </c>
      <c r="BS33" s="1302">
        <f t="shared" si="69"/>
        <v>7.75</v>
      </c>
      <c r="BT33" s="990" t="str">
        <f t="shared" si="70"/>
        <v>Yes</v>
      </c>
      <c r="BU33" s="1302">
        <f t="shared" si="71"/>
        <v>7.75</v>
      </c>
      <c r="BV33" s="990" t="str">
        <f t="shared" si="72"/>
        <v>Yes</v>
      </c>
      <c r="BW33" s="991">
        <f t="shared" ca="1" si="25"/>
        <v>0</v>
      </c>
      <c r="BX33" s="991" t="str">
        <f t="shared" ca="1" si="32"/>
        <v/>
      </c>
      <c r="BY33" s="991" t="b">
        <f t="shared" ca="1" si="26"/>
        <v>0</v>
      </c>
      <c r="BZ33" s="1303" t="b">
        <f t="shared" si="33"/>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73"/>
        <v/>
      </c>
      <c r="EN33" s="1632" t="str">
        <f t="shared" si="52"/>
        <v/>
      </c>
      <c r="EO33" s="648" t="str">
        <f t="shared" si="53"/>
        <v/>
      </c>
      <c r="EP33" s="649" t="str">
        <f t="shared" si="54"/>
        <v/>
      </c>
      <c r="EQ33" s="813" t="str">
        <f t="shared" si="55"/>
        <v/>
      </c>
      <c r="ER33" s="1586" t="str">
        <f t="shared" si="56"/>
        <v/>
      </c>
      <c r="ES33" s="1587" t="str">
        <f t="shared" si="57"/>
        <v/>
      </c>
      <c r="ET33" s="1588" t="str">
        <f t="shared" si="58"/>
        <v/>
      </c>
      <c r="EU33" s="1589" t="str">
        <f t="shared" si="59"/>
        <v/>
      </c>
      <c r="EX33" s="503" t="str">
        <f t="shared" ca="1" si="27"/>
        <v/>
      </c>
      <c r="EY33" s="940" t="str">
        <f t="shared" si="8"/>
        <v/>
      </c>
      <c r="EZ33" s="940" t="str">
        <f t="shared" si="28"/>
        <v/>
      </c>
      <c r="FA33" s="958" t="str">
        <f t="shared" ca="1" si="34"/>
        <v/>
      </c>
      <c r="FB33" s="134" t="str">
        <f t="shared" ca="1" si="29"/>
        <v/>
      </c>
      <c r="FC33" s="134">
        <f t="shared" ca="1" si="9"/>
        <v>0</v>
      </c>
      <c r="FD33" s="134">
        <f t="shared" ca="1" si="10"/>
        <v>0</v>
      </c>
      <c r="FE33" s="134">
        <f t="shared" ca="1" si="11"/>
        <v>0</v>
      </c>
      <c r="FF33" s="134">
        <f t="shared" ca="1" si="30"/>
        <v>0</v>
      </c>
      <c r="FN33" s="993" t="b">
        <v>0</v>
      </c>
      <c r="FO33" s="754" t="b">
        <f t="shared" si="74"/>
        <v>1</v>
      </c>
      <c r="FP33" s="754" t="b">
        <v>0</v>
      </c>
      <c r="FQ33" s="754" t="b">
        <f t="shared" si="31"/>
        <v>1</v>
      </c>
      <c r="FX33" s="197"/>
      <c r="FZ33" s="2"/>
      <c r="GA33" s="1761">
        <v>56</v>
      </c>
      <c r="GB33" s="1762">
        <v>0</v>
      </c>
      <c r="GC33" s="1763">
        <v>-0.25</v>
      </c>
      <c r="GD33" s="1764">
        <v>-0.25</v>
      </c>
      <c r="GE33" s="1765">
        <f t="shared" si="60"/>
        <v>0</v>
      </c>
      <c r="GF33" s="582" t="str">
        <f t="shared" si="61"/>
        <v>G6</v>
      </c>
      <c r="GG33" s="692">
        <v>0</v>
      </c>
      <c r="GH33" s="1135">
        <v>0</v>
      </c>
      <c r="GI33" s="692"/>
      <c r="GJ33" s="1135"/>
      <c r="GK33" s="1640">
        <f t="shared" si="62"/>
        <v>671.5</v>
      </c>
      <c r="GL33" s="1640">
        <f t="shared" si="63"/>
        <v>671.5</v>
      </c>
      <c r="GM33" s="1641">
        <f>IF(ABS(GK33-GL33)&gt;='Job Info.'!$L$22,ABS(GK33-GL33),0)</f>
        <v>0</v>
      </c>
      <c r="HA33" s="1241" t="s">
        <v>1406</v>
      </c>
      <c r="HB33" s="1242">
        <v>1</v>
      </c>
      <c r="HC33" s="1242" t="s">
        <v>1577</v>
      </c>
      <c r="HD33" s="1243">
        <v>55</v>
      </c>
      <c r="HE33" s="1244">
        <v>11.5</v>
      </c>
      <c r="HF33" s="1242">
        <v>11.125</v>
      </c>
      <c r="HG33" s="1242">
        <v>0</v>
      </c>
      <c r="HH33" s="1242">
        <v>1.75</v>
      </c>
      <c r="HI33" s="1242" t="s">
        <v>113</v>
      </c>
      <c r="HJ33" s="1242">
        <v>0</v>
      </c>
      <c r="HK33" s="1242">
        <v>1.75</v>
      </c>
      <c r="HL33" s="1242" t="s">
        <v>113</v>
      </c>
      <c r="HM33" s="1242">
        <v>7.5</v>
      </c>
      <c r="HN33" s="1242">
        <v>7.5</v>
      </c>
      <c r="HO33" s="1242">
        <v>0</v>
      </c>
      <c r="HP33" s="1242">
        <v>6.75</v>
      </c>
      <c r="HQ33" s="1242">
        <v>0</v>
      </c>
      <c r="HR33" s="1242">
        <v>6.75</v>
      </c>
      <c r="HS33" s="1242">
        <v>0</v>
      </c>
      <c r="HT33" s="1242">
        <v>6.25</v>
      </c>
      <c r="HU33" s="1242">
        <v>0</v>
      </c>
      <c r="HV33" s="1242">
        <v>6.25</v>
      </c>
      <c r="HW33" s="1242">
        <v>5</v>
      </c>
      <c r="HX33" s="1242" t="s">
        <v>116</v>
      </c>
      <c r="HY33" s="1246" t="s">
        <v>116</v>
      </c>
      <c r="HZ33" s="1246" t="s">
        <v>1623</v>
      </c>
      <c r="IA33" s="1246" t="s">
        <v>116</v>
      </c>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35"/>
        <v>0</v>
      </c>
    </row>
    <row r="34" spans="1:272" ht="12.6" customHeight="1" x14ac:dyDescent="0.25">
      <c r="A34" s="1448" t="s">
        <v>1407</v>
      </c>
      <c r="B34" s="1681">
        <v>2</v>
      </c>
      <c r="C34" s="1449" t="s">
        <v>1779</v>
      </c>
      <c r="D34" s="1705">
        <v>55</v>
      </c>
      <c r="E34" s="1706">
        <v>6.25</v>
      </c>
      <c r="F34" s="1707">
        <v>11.125</v>
      </c>
      <c r="G34" s="1708">
        <v>0</v>
      </c>
      <c r="H34" s="1709">
        <v>1.75</v>
      </c>
      <c r="I34" s="1710" t="s">
        <v>113</v>
      </c>
      <c r="J34" s="1705">
        <v>0</v>
      </c>
      <c r="K34" s="1709">
        <v>0.5</v>
      </c>
      <c r="L34" s="1711" t="s">
        <v>113</v>
      </c>
      <c r="M34" s="1712">
        <v>7.5</v>
      </c>
      <c r="N34" s="1713">
        <v>7.5</v>
      </c>
      <c r="O34" s="1708">
        <v>0</v>
      </c>
      <c r="P34" s="1709">
        <v>6.75</v>
      </c>
      <c r="Q34" s="1705">
        <v>0</v>
      </c>
      <c r="R34" s="1706">
        <v>5.5</v>
      </c>
      <c r="S34" s="1714">
        <v>0</v>
      </c>
      <c r="T34" s="1709">
        <v>6.25</v>
      </c>
      <c r="U34" s="1705">
        <v>0</v>
      </c>
      <c r="V34" s="1709">
        <v>5</v>
      </c>
      <c r="W34" s="1713">
        <v>5</v>
      </c>
      <c r="X34" s="1715" t="str">
        <f t="shared" si="48"/>
        <v/>
      </c>
      <c r="Y34" s="1716" t="str">
        <f t="shared" si="49"/>
        <v/>
      </c>
      <c r="Z34" s="1717" t="s">
        <v>1787</v>
      </c>
      <c r="AA34" s="1718" t="str">
        <f t="shared" si="50"/>
        <v/>
      </c>
      <c r="AB34" s="1448" t="str">
        <f t="shared" si="37"/>
        <v/>
      </c>
      <c r="AC34" s="1710" t="str">
        <f t="shared" si="38"/>
        <v/>
      </c>
      <c r="AD34" s="1705" t="str">
        <f t="shared" ca="1" si="39"/>
        <v/>
      </c>
      <c r="AE34" s="1709" t="str">
        <f t="shared" ca="1" si="40"/>
        <v/>
      </c>
      <c r="AF34" s="1710" t="str">
        <f t="shared" ca="1" si="41"/>
        <v/>
      </c>
      <c r="AG34" s="1705" t="str">
        <f t="shared" ca="1" si="42"/>
        <v/>
      </c>
      <c r="AH34" s="1709" t="str">
        <f t="shared" ca="1" si="43"/>
        <v/>
      </c>
      <c r="AI34" s="1705" t="str">
        <f t="shared" ca="1" si="44"/>
        <v/>
      </c>
      <c r="AJ34" s="1709" t="str">
        <f t="shared" ca="1" si="45"/>
        <v/>
      </c>
      <c r="AK34" s="1747" t="str">
        <f t="shared" si="12"/>
        <v/>
      </c>
      <c r="AL34" s="1748" t="str">
        <f t="shared" si="46"/>
        <v/>
      </c>
      <c r="AM34" s="1749" t="str">
        <f t="shared" si="80"/>
        <v/>
      </c>
      <c r="AN34" s="1710" t="str">
        <f t="shared" si="80"/>
        <v/>
      </c>
      <c r="AO34" s="1750" t="str">
        <f t="shared" si="80"/>
        <v/>
      </c>
      <c r="AP34" s="1712" t="str">
        <f t="shared" si="3"/>
        <v/>
      </c>
      <c r="AQ34" s="1751" t="str">
        <f t="shared" si="3"/>
        <v/>
      </c>
      <c r="AR34" s="1708" t="str">
        <f t="shared" si="13"/>
        <v/>
      </c>
      <c r="AS34" s="1709" t="str">
        <f t="shared" si="14"/>
        <v/>
      </c>
      <c r="AT34" s="1752" t="str">
        <f t="shared" si="15"/>
        <v/>
      </c>
      <c r="AU34" s="1753" t="str">
        <f t="shared" si="4"/>
        <v/>
      </c>
      <c r="AV34" s="1714" t="str">
        <f t="shared" si="16"/>
        <v/>
      </c>
      <c r="AW34" s="1709" t="str">
        <f t="shared" si="17"/>
        <v/>
      </c>
      <c r="AX34" s="1752" t="str">
        <f t="shared" si="18"/>
        <v/>
      </c>
      <c r="AY34" s="1753" t="str">
        <f t="shared" si="5"/>
        <v/>
      </c>
      <c r="AZ34" s="1714" t="str">
        <f t="shared" si="19"/>
        <v/>
      </c>
      <c r="BA34" s="1709" t="str">
        <f t="shared" si="20"/>
        <v/>
      </c>
      <c r="BB34" s="1752" t="str">
        <f t="shared" si="21"/>
        <v/>
      </c>
      <c r="BC34" s="1753" t="str">
        <f t="shared" si="6"/>
        <v/>
      </c>
      <c r="BD34" s="1714" t="str">
        <f t="shared" si="22"/>
        <v/>
      </c>
      <c r="BE34" s="1709" t="str">
        <f t="shared" si="23"/>
        <v/>
      </c>
      <c r="BF34" s="1752" t="str">
        <f t="shared" si="24"/>
        <v/>
      </c>
      <c r="BG34" s="1753" t="str">
        <f t="shared" si="7"/>
        <v/>
      </c>
      <c r="BH34" s="261"/>
      <c r="BJ34" s="1301" t="str">
        <f t="shared" si="75"/>
        <v>G7</v>
      </c>
      <c r="BK34" s="993" t="b">
        <f t="shared" si="79"/>
        <v>0</v>
      </c>
      <c r="BL34" s="1800" t="b">
        <v>0</v>
      </c>
      <c r="BM34" s="989">
        <f t="shared" si="64"/>
        <v>52</v>
      </c>
      <c r="BN34" s="989" t="str">
        <f t="shared" si="65"/>
        <v>VG</v>
      </c>
      <c r="BO34" s="989">
        <f t="shared" si="66"/>
        <v>9</v>
      </c>
      <c r="BP34" s="989" t="str">
        <f t="shared" si="51"/>
        <v>15.3/9.1</v>
      </c>
      <c r="BQ34" s="989">
        <f t="shared" si="67"/>
        <v>0</v>
      </c>
      <c r="BR34" s="989" t="b">
        <f t="shared" si="68"/>
        <v>1</v>
      </c>
      <c r="BS34" s="1302">
        <f t="shared" si="69"/>
        <v>7.75</v>
      </c>
      <c r="BT34" s="990" t="str">
        <f t="shared" si="70"/>
        <v>Yes</v>
      </c>
      <c r="BU34" s="1302">
        <f t="shared" si="71"/>
        <v>6.5</v>
      </c>
      <c r="BV34" s="990" t="str">
        <f t="shared" si="72"/>
        <v>Yes</v>
      </c>
      <c r="BW34" s="991">
        <f t="shared" ca="1" si="25"/>
        <v>0</v>
      </c>
      <c r="BX34" s="991" t="str">
        <f t="shared" ca="1" si="32"/>
        <v/>
      </c>
      <c r="BY34" s="991" t="b">
        <f t="shared" ca="1" si="26"/>
        <v>0</v>
      </c>
      <c r="BZ34" s="1303" t="b">
        <f t="shared" si="33"/>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73"/>
        <v/>
      </c>
      <c r="EN34" s="1632" t="str">
        <f t="shared" si="52"/>
        <v/>
      </c>
      <c r="EO34" s="648" t="str">
        <f t="shared" si="53"/>
        <v/>
      </c>
      <c r="EP34" s="649" t="str">
        <f t="shared" si="54"/>
        <v/>
      </c>
      <c r="EQ34" s="813" t="str">
        <f t="shared" si="55"/>
        <v/>
      </c>
      <c r="ER34" s="1586" t="str">
        <f t="shared" si="56"/>
        <v/>
      </c>
      <c r="ES34" s="1587" t="str">
        <f t="shared" si="57"/>
        <v/>
      </c>
      <c r="ET34" s="1588" t="str">
        <f t="shared" si="58"/>
        <v/>
      </c>
      <c r="EU34" s="1589" t="str">
        <f t="shared" si="59"/>
        <v/>
      </c>
      <c r="EX34" s="503" t="str">
        <f t="shared" ca="1" si="27"/>
        <v/>
      </c>
      <c r="EY34" s="940" t="str">
        <f t="shared" si="8"/>
        <v/>
      </c>
      <c r="EZ34" s="940" t="str">
        <f t="shared" si="28"/>
        <v/>
      </c>
      <c r="FA34" s="958" t="str">
        <f t="shared" ca="1" si="34"/>
        <v/>
      </c>
      <c r="FB34" s="134" t="str">
        <f t="shared" ca="1" si="29"/>
        <v/>
      </c>
      <c r="FC34" s="134">
        <f t="shared" ca="1" si="9"/>
        <v>0</v>
      </c>
      <c r="FD34" s="134">
        <f t="shared" ca="1" si="10"/>
        <v>0</v>
      </c>
      <c r="FE34" s="134">
        <f t="shared" ca="1" si="11"/>
        <v>0</v>
      </c>
      <c r="FF34" s="134">
        <f t="shared" ca="1" si="30"/>
        <v>0</v>
      </c>
      <c r="FN34" s="993" t="b">
        <v>0</v>
      </c>
      <c r="FO34" s="754" t="b">
        <f t="shared" si="74"/>
        <v>1</v>
      </c>
      <c r="FP34" s="754" t="b">
        <v>0</v>
      </c>
      <c r="FQ34" s="754" t="b">
        <f t="shared" si="31"/>
        <v>1</v>
      </c>
      <c r="FX34" s="197"/>
      <c r="FZ34" s="2"/>
      <c r="GA34" s="1761">
        <v>55</v>
      </c>
      <c r="GB34" s="1762">
        <v>3</v>
      </c>
      <c r="GC34" s="1763">
        <v>-0.25</v>
      </c>
      <c r="GD34" s="1764">
        <v>3.5</v>
      </c>
      <c r="GE34" s="1765">
        <f t="shared" si="60"/>
        <v>0</v>
      </c>
      <c r="GF34" s="582" t="str">
        <f t="shared" si="61"/>
        <v>G7</v>
      </c>
      <c r="GG34" s="692">
        <v>0</v>
      </c>
      <c r="GH34" s="1135">
        <v>0</v>
      </c>
      <c r="GI34" s="692"/>
      <c r="GJ34" s="1135"/>
      <c r="GK34" s="1640">
        <f t="shared" si="62"/>
        <v>666.25</v>
      </c>
      <c r="GL34" s="1640">
        <f t="shared" si="63"/>
        <v>666.25</v>
      </c>
      <c r="GM34" s="1641">
        <f>IF(ABS(GK34-GL34)&gt;='Job Info.'!$L$22,ABS(GK34-GL34),0)</f>
        <v>0</v>
      </c>
      <c r="HA34" s="1241" t="s">
        <v>1407</v>
      </c>
      <c r="HB34" s="1242">
        <v>2</v>
      </c>
      <c r="HC34" s="1242" t="s">
        <v>1585</v>
      </c>
      <c r="HD34" s="1243">
        <v>55</v>
      </c>
      <c r="HE34" s="1244">
        <v>6.25</v>
      </c>
      <c r="HF34" s="1242">
        <v>11.125</v>
      </c>
      <c r="HG34" s="1242">
        <v>0</v>
      </c>
      <c r="HH34" s="1242">
        <v>1.75</v>
      </c>
      <c r="HI34" s="1242" t="s">
        <v>113</v>
      </c>
      <c r="HJ34" s="1242">
        <v>0</v>
      </c>
      <c r="HK34" s="1242">
        <v>0.5</v>
      </c>
      <c r="HL34" s="1242" t="s">
        <v>113</v>
      </c>
      <c r="HM34" s="1242">
        <v>7.5</v>
      </c>
      <c r="HN34" s="1242">
        <v>7.5</v>
      </c>
      <c r="HO34" s="1242">
        <v>0</v>
      </c>
      <c r="HP34" s="1242">
        <v>6.75</v>
      </c>
      <c r="HQ34" s="1242">
        <v>0</v>
      </c>
      <c r="HR34" s="1242">
        <v>5.5</v>
      </c>
      <c r="HS34" s="1242">
        <v>0</v>
      </c>
      <c r="HT34" s="1242">
        <v>6.25</v>
      </c>
      <c r="HU34" s="1242">
        <v>0</v>
      </c>
      <c r="HV34" s="1242">
        <v>5</v>
      </c>
      <c r="HW34" s="1242">
        <v>5</v>
      </c>
      <c r="HX34" s="1242" t="s">
        <v>116</v>
      </c>
      <c r="HY34" s="1246" t="s">
        <v>116</v>
      </c>
      <c r="HZ34" s="1246" t="s">
        <v>1626</v>
      </c>
      <c r="IA34" s="1246" t="s">
        <v>116</v>
      </c>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35"/>
        <v>0</v>
      </c>
    </row>
    <row r="35" spans="1:272" ht="12.6" customHeight="1" x14ac:dyDescent="0.25">
      <c r="A35" s="1448" t="s">
        <v>1408</v>
      </c>
      <c r="B35" s="1681">
        <v>5</v>
      </c>
      <c r="C35" s="1449" t="s">
        <v>1779</v>
      </c>
      <c r="D35" s="1705">
        <v>55</v>
      </c>
      <c r="E35" s="1706">
        <v>11.5</v>
      </c>
      <c r="F35" s="1707">
        <v>11.125</v>
      </c>
      <c r="G35" s="1708">
        <v>0</v>
      </c>
      <c r="H35" s="1709">
        <v>1.75</v>
      </c>
      <c r="I35" s="1710" t="s">
        <v>113</v>
      </c>
      <c r="J35" s="1705">
        <v>0</v>
      </c>
      <c r="K35" s="1709">
        <v>1.75</v>
      </c>
      <c r="L35" s="1711" t="s">
        <v>113</v>
      </c>
      <c r="M35" s="1712">
        <v>7.5</v>
      </c>
      <c r="N35" s="1713">
        <v>7.5</v>
      </c>
      <c r="O35" s="1708">
        <v>0</v>
      </c>
      <c r="P35" s="1709">
        <v>6.75</v>
      </c>
      <c r="Q35" s="1705">
        <v>0</v>
      </c>
      <c r="R35" s="1706">
        <v>6.75</v>
      </c>
      <c r="S35" s="1714">
        <v>0</v>
      </c>
      <c r="T35" s="1709">
        <v>6.25</v>
      </c>
      <c r="U35" s="1705">
        <v>0</v>
      </c>
      <c r="V35" s="1709">
        <v>6.25</v>
      </c>
      <c r="W35" s="1713">
        <v>5</v>
      </c>
      <c r="X35" s="1715" t="str">
        <f t="shared" si="48"/>
        <v/>
      </c>
      <c r="Y35" s="1716" t="str">
        <f t="shared" si="49"/>
        <v/>
      </c>
      <c r="Z35" s="1717" t="s">
        <v>1627</v>
      </c>
      <c r="AA35" s="1718" t="str">
        <f t="shared" si="50"/>
        <v/>
      </c>
      <c r="AB35" s="1448" t="str">
        <f t="shared" si="37"/>
        <v/>
      </c>
      <c r="AC35" s="1710" t="str">
        <f t="shared" si="38"/>
        <v/>
      </c>
      <c r="AD35" s="1705" t="str">
        <f t="shared" ca="1" si="39"/>
        <v/>
      </c>
      <c r="AE35" s="1709" t="str">
        <f t="shared" ca="1" si="40"/>
        <v/>
      </c>
      <c r="AF35" s="1710" t="str">
        <f t="shared" ca="1" si="41"/>
        <v/>
      </c>
      <c r="AG35" s="1705" t="str">
        <f t="shared" ca="1" si="42"/>
        <v/>
      </c>
      <c r="AH35" s="1709" t="str">
        <f t="shared" ca="1" si="43"/>
        <v/>
      </c>
      <c r="AI35" s="1705" t="str">
        <f t="shared" ca="1" si="44"/>
        <v/>
      </c>
      <c r="AJ35" s="1709" t="str">
        <f t="shared" ca="1" si="45"/>
        <v/>
      </c>
      <c r="AK35" s="1747" t="str">
        <f t="shared" si="12"/>
        <v/>
      </c>
      <c r="AL35" s="1748" t="str">
        <f t="shared" si="46"/>
        <v/>
      </c>
      <c r="AM35" s="1749" t="str">
        <f t="shared" si="80"/>
        <v/>
      </c>
      <c r="AN35" s="1710" t="str">
        <f t="shared" si="80"/>
        <v/>
      </c>
      <c r="AO35" s="1750" t="str">
        <f t="shared" si="80"/>
        <v/>
      </c>
      <c r="AP35" s="1712" t="str">
        <f t="shared" si="3"/>
        <v/>
      </c>
      <c r="AQ35" s="1751" t="str">
        <f t="shared" si="3"/>
        <v/>
      </c>
      <c r="AR35" s="1708" t="str">
        <f t="shared" si="13"/>
        <v/>
      </c>
      <c r="AS35" s="1709" t="str">
        <f t="shared" si="14"/>
        <v/>
      </c>
      <c r="AT35" s="1752" t="str">
        <f t="shared" si="15"/>
        <v/>
      </c>
      <c r="AU35" s="1753" t="str">
        <f t="shared" si="4"/>
        <v/>
      </c>
      <c r="AV35" s="1714" t="str">
        <f t="shared" si="16"/>
        <v/>
      </c>
      <c r="AW35" s="1709" t="str">
        <f t="shared" si="17"/>
        <v/>
      </c>
      <c r="AX35" s="1752" t="str">
        <f t="shared" si="18"/>
        <v/>
      </c>
      <c r="AY35" s="1753" t="str">
        <f t="shared" si="5"/>
        <v/>
      </c>
      <c r="AZ35" s="1714" t="str">
        <f t="shared" si="19"/>
        <v/>
      </c>
      <c r="BA35" s="1709" t="str">
        <f t="shared" si="20"/>
        <v/>
      </c>
      <c r="BB35" s="1752" t="str">
        <f t="shared" si="21"/>
        <v/>
      </c>
      <c r="BC35" s="1753" t="str">
        <f t="shared" si="6"/>
        <v/>
      </c>
      <c r="BD35" s="1714" t="str">
        <f t="shared" si="22"/>
        <v/>
      </c>
      <c r="BE35" s="1709" t="str">
        <f t="shared" si="23"/>
        <v/>
      </c>
      <c r="BF35" s="1752" t="str">
        <f t="shared" si="24"/>
        <v/>
      </c>
      <c r="BG35" s="1753" t="str">
        <f t="shared" si="7"/>
        <v/>
      </c>
      <c r="BH35" s="261"/>
      <c r="BJ35" s="1301" t="str">
        <f t="shared" si="75"/>
        <v>G8</v>
      </c>
      <c r="BK35" s="993" t="b">
        <f t="shared" si="79"/>
        <v>0</v>
      </c>
      <c r="BL35" s="1800" t="b">
        <v>0</v>
      </c>
      <c r="BM35" s="989">
        <f t="shared" si="64"/>
        <v>52</v>
      </c>
      <c r="BN35" s="989" t="str">
        <f t="shared" si="65"/>
        <v>VG</v>
      </c>
      <c r="BO35" s="989">
        <f t="shared" si="66"/>
        <v>9</v>
      </c>
      <c r="BP35" s="989" t="str">
        <f t="shared" si="51"/>
        <v>15.3/9.1</v>
      </c>
      <c r="BQ35" s="989">
        <f t="shared" si="67"/>
        <v>0</v>
      </c>
      <c r="BR35" s="989" t="b">
        <f t="shared" si="68"/>
        <v>1</v>
      </c>
      <c r="BS35" s="1302">
        <f t="shared" si="69"/>
        <v>7.75</v>
      </c>
      <c r="BT35" s="990" t="str">
        <f t="shared" si="70"/>
        <v>Yes</v>
      </c>
      <c r="BU35" s="1302">
        <f t="shared" si="71"/>
        <v>7.75</v>
      </c>
      <c r="BV35" s="990" t="str">
        <f t="shared" si="72"/>
        <v>Yes</v>
      </c>
      <c r="BW35" s="991">
        <f t="shared" ca="1" si="25"/>
        <v>0</v>
      </c>
      <c r="BX35" s="991" t="str">
        <f t="shared" ca="1" si="32"/>
        <v/>
      </c>
      <c r="BY35" s="991" t="b">
        <f t="shared" ca="1" si="26"/>
        <v>0</v>
      </c>
      <c r="BZ35" s="1303" t="b">
        <f t="shared" si="33"/>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73"/>
        <v/>
      </c>
      <c r="EN35" s="1632" t="str">
        <f t="shared" si="52"/>
        <v/>
      </c>
      <c r="EO35" s="648" t="str">
        <f t="shared" si="53"/>
        <v/>
      </c>
      <c r="EP35" s="649" t="str">
        <f t="shared" si="54"/>
        <v/>
      </c>
      <c r="EQ35" s="813" t="str">
        <f t="shared" si="55"/>
        <v/>
      </c>
      <c r="ER35" s="1586" t="str">
        <f t="shared" si="56"/>
        <v/>
      </c>
      <c r="ES35" s="1587" t="str">
        <f t="shared" si="57"/>
        <v/>
      </c>
      <c r="ET35" s="1588" t="str">
        <f t="shared" si="58"/>
        <v/>
      </c>
      <c r="EU35" s="1589" t="str">
        <f t="shared" si="59"/>
        <v/>
      </c>
      <c r="EX35" s="503" t="str">
        <f t="shared" ca="1" si="27"/>
        <v/>
      </c>
      <c r="EY35" s="940" t="str">
        <f t="shared" si="8"/>
        <v/>
      </c>
      <c r="EZ35" s="940" t="str">
        <f t="shared" si="28"/>
        <v/>
      </c>
      <c r="FA35" s="958" t="str">
        <f t="shared" ca="1" si="34"/>
        <v/>
      </c>
      <c r="FB35" s="134" t="str">
        <f t="shared" ca="1" si="29"/>
        <v/>
      </c>
      <c r="FC35" s="134">
        <f t="shared" ca="1" si="9"/>
        <v>0</v>
      </c>
      <c r="FD35" s="134">
        <f t="shared" ca="1" si="10"/>
        <v>0</v>
      </c>
      <c r="FE35" s="134">
        <f t="shared" ca="1" si="11"/>
        <v>0</v>
      </c>
      <c r="FF35" s="134">
        <f t="shared" ca="1" si="30"/>
        <v>0</v>
      </c>
      <c r="FN35" s="993" t="b">
        <v>0</v>
      </c>
      <c r="FO35" s="754" t="b">
        <f t="shared" si="74"/>
        <v>1</v>
      </c>
      <c r="FP35" s="754" t="b">
        <v>0</v>
      </c>
      <c r="FQ35" s="754" t="b">
        <f t="shared" si="31"/>
        <v>1</v>
      </c>
      <c r="FX35" s="197"/>
      <c r="FZ35" s="2"/>
      <c r="GA35" s="1761">
        <v>56</v>
      </c>
      <c r="GB35" s="1762">
        <v>0</v>
      </c>
      <c r="GC35" s="1763">
        <v>-0.25</v>
      </c>
      <c r="GD35" s="1764">
        <v>-0.25</v>
      </c>
      <c r="GE35" s="1765">
        <f t="shared" si="60"/>
        <v>0</v>
      </c>
      <c r="GF35" s="582" t="str">
        <f t="shared" si="61"/>
        <v>G8</v>
      </c>
      <c r="GG35" s="692">
        <v>0</v>
      </c>
      <c r="GH35" s="1135">
        <v>0</v>
      </c>
      <c r="GI35" s="692"/>
      <c r="GJ35" s="1135"/>
      <c r="GK35" s="1640">
        <f t="shared" si="62"/>
        <v>671.5</v>
      </c>
      <c r="GL35" s="1640">
        <f t="shared" si="63"/>
        <v>671.5</v>
      </c>
      <c r="GM35" s="1641">
        <f>IF(ABS(GK35-GL35)&gt;='Job Info.'!$L$22,ABS(GK35-GL35),0)</f>
        <v>0</v>
      </c>
      <c r="HA35" s="1241" t="s">
        <v>1408</v>
      </c>
      <c r="HB35" s="1242">
        <v>5</v>
      </c>
      <c r="HC35" s="1242" t="s">
        <v>1585</v>
      </c>
      <c r="HD35" s="1243">
        <v>55</v>
      </c>
      <c r="HE35" s="1244">
        <v>11.5</v>
      </c>
      <c r="HF35" s="1242">
        <v>11.125</v>
      </c>
      <c r="HG35" s="1242">
        <v>0</v>
      </c>
      <c r="HH35" s="1242">
        <v>1.75</v>
      </c>
      <c r="HI35" s="1242" t="s">
        <v>113</v>
      </c>
      <c r="HJ35" s="1242">
        <v>0</v>
      </c>
      <c r="HK35" s="1242">
        <v>1.75</v>
      </c>
      <c r="HL35" s="1242" t="s">
        <v>113</v>
      </c>
      <c r="HM35" s="1242">
        <v>7.5</v>
      </c>
      <c r="HN35" s="1242">
        <v>7.5</v>
      </c>
      <c r="HO35" s="1242">
        <v>0</v>
      </c>
      <c r="HP35" s="1242">
        <v>6.75</v>
      </c>
      <c r="HQ35" s="1242">
        <v>0</v>
      </c>
      <c r="HR35" s="1242">
        <v>6.75</v>
      </c>
      <c r="HS35" s="1242">
        <v>0</v>
      </c>
      <c r="HT35" s="1242">
        <v>6.25</v>
      </c>
      <c r="HU35" s="1242">
        <v>0</v>
      </c>
      <c r="HV35" s="1242">
        <v>6.25</v>
      </c>
      <c r="HW35" s="1242">
        <v>5</v>
      </c>
      <c r="HX35" s="1242" t="s">
        <v>116</v>
      </c>
      <c r="HY35" s="1246" t="s">
        <v>116</v>
      </c>
      <c r="HZ35" s="1246" t="s">
        <v>1627</v>
      </c>
      <c r="IA35" s="1246" t="s">
        <v>116</v>
      </c>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35"/>
        <v>0</v>
      </c>
    </row>
    <row r="36" spans="1:272" ht="12.6" customHeight="1" x14ac:dyDescent="0.25">
      <c r="A36" s="1448" t="s">
        <v>1409</v>
      </c>
      <c r="B36" s="1681">
        <v>1</v>
      </c>
      <c r="C36" s="1449" t="s">
        <v>1779</v>
      </c>
      <c r="D36" s="1705">
        <v>55</v>
      </c>
      <c r="E36" s="1706">
        <v>10.875</v>
      </c>
      <c r="F36" s="1707">
        <v>11.125</v>
      </c>
      <c r="G36" s="1708">
        <v>0</v>
      </c>
      <c r="H36" s="1709">
        <v>1.75</v>
      </c>
      <c r="I36" s="1710" t="s">
        <v>113</v>
      </c>
      <c r="J36" s="1705" t="str">
        <f t="shared" si="76"/>
        <v/>
      </c>
      <c r="K36" s="1709" t="str">
        <f t="shared" si="77"/>
        <v/>
      </c>
      <c r="L36" s="1711" t="str">
        <f t="shared" si="78"/>
        <v/>
      </c>
      <c r="M36" s="1712">
        <v>7.5</v>
      </c>
      <c r="N36" s="1713">
        <v>10</v>
      </c>
      <c r="O36" s="1708">
        <v>0</v>
      </c>
      <c r="P36" s="1709">
        <v>6.75</v>
      </c>
      <c r="Q36" s="1705">
        <v>0</v>
      </c>
      <c r="R36" s="1706">
        <v>7.125</v>
      </c>
      <c r="S36" s="1714">
        <v>0</v>
      </c>
      <c r="T36" s="1709">
        <v>6.25</v>
      </c>
      <c r="U36" s="1705">
        <v>0</v>
      </c>
      <c r="V36" s="1709">
        <v>2.125</v>
      </c>
      <c r="W36" s="1713">
        <v>5</v>
      </c>
      <c r="X36" s="1715" t="str">
        <f t="shared" si="48"/>
        <v/>
      </c>
      <c r="Y36" s="1716" t="str">
        <f t="shared" si="49"/>
        <v/>
      </c>
      <c r="Z36" s="1717" t="s">
        <v>1788</v>
      </c>
      <c r="AA36" s="1718" t="str">
        <f t="shared" si="50"/>
        <v/>
      </c>
      <c r="AB36" s="1448" t="str">
        <f t="shared" si="37"/>
        <v/>
      </c>
      <c r="AC36" s="1710" t="str">
        <f t="shared" si="38"/>
        <v/>
      </c>
      <c r="AD36" s="1705" t="str">
        <f t="shared" ca="1" si="39"/>
        <v/>
      </c>
      <c r="AE36" s="1709" t="str">
        <f t="shared" ca="1" si="40"/>
        <v/>
      </c>
      <c r="AF36" s="1710" t="str">
        <f t="shared" ca="1" si="41"/>
        <v/>
      </c>
      <c r="AG36" s="1705" t="str">
        <f t="shared" ca="1" si="42"/>
        <v/>
      </c>
      <c r="AH36" s="1709" t="str">
        <f t="shared" ca="1" si="43"/>
        <v/>
      </c>
      <c r="AI36" s="1705" t="str">
        <f t="shared" ca="1" si="44"/>
        <v/>
      </c>
      <c r="AJ36" s="1709" t="str">
        <f t="shared" ca="1" si="45"/>
        <v/>
      </c>
      <c r="AK36" s="1747" t="str">
        <f t="shared" si="12"/>
        <v/>
      </c>
      <c r="AL36" s="1748" t="str">
        <f t="shared" si="46"/>
        <v/>
      </c>
      <c r="AM36" s="1749" t="str">
        <f t="shared" si="80"/>
        <v/>
      </c>
      <c r="AN36" s="1710" t="str">
        <f t="shared" si="80"/>
        <v/>
      </c>
      <c r="AO36" s="1750" t="str">
        <f t="shared" si="80"/>
        <v/>
      </c>
      <c r="AP36" s="1712" t="str">
        <f t="shared" si="3"/>
        <v/>
      </c>
      <c r="AQ36" s="1751" t="str">
        <f t="shared" si="3"/>
        <v/>
      </c>
      <c r="AR36" s="1708" t="str">
        <f t="shared" si="13"/>
        <v/>
      </c>
      <c r="AS36" s="1709" t="str">
        <f t="shared" si="14"/>
        <v/>
      </c>
      <c r="AT36" s="1752" t="str">
        <f t="shared" si="15"/>
        <v/>
      </c>
      <c r="AU36" s="1753" t="str">
        <f t="shared" si="4"/>
        <v/>
      </c>
      <c r="AV36" s="1714" t="str">
        <f t="shared" si="16"/>
        <v/>
      </c>
      <c r="AW36" s="1709" t="str">
        <f t="shared" si="17"/>
        <v/>
      </c>
      <c r="AX36" s="1752" t="str">
        <f t="shared" si="18"/>
        <v/>
      </c>
      <c r="AY36" s="1753" t="str">
        <f t="shared" si="5"/>
        <v/>
      </c>
      <c r="AZ36" s="1714" t="str">
        <f t="shared" si="19"/>
        <v/>
      </c>
      <c r="BA36" s="1709" t="str">
        <f t="shared" si="20"/>
        <v/>
      </c>
      <c r="BB36" s="1752" t="str">
        <f t="shared" si="21"/>
        <v/>
      </c>
      <c r="BC36" s="1753" t="str">
        <f t="shared" si="6"/>
        <v/>
      </c>
      <c r="BD36" s="1714" t="str">
        <f t="shared" si="22"/>
        <v/>
      </c>
      <c r="BE36" s="1709" t="str">
        <f t="shared" si="23"/>
        <v/>
      </c>
      <c r="BF36" s="1752" t="str">
        <f t="shared" si="24"/>
        <v/>
      </c>
      <c r="BG36" s="1753" t="str">
        <f t="shared" si="7"/>
        <v/>
      </c>
      <c r="BH36" s="261"/>
      <c r="BJ36" s="1301" t="str">
        <f t="shared" si="75"/>
        <v>G9</v>
      </c>
      <c r="BK36" s="993" t="b">
        <f t="shared" si="79"/>
        <v>0</v>
      </c>
      <c r="BL36" s="1800" t="b">
        <v>0</v>
      </c>
      <c r="BM36" s="989">
        <f t="shared" si="64"/>
        <v>52</v>
      </c>
      <c r="BN36" s="989" t="str">
        <f t="shared" si="65"/>
        <v>VG</v>
      </c>
      <c r="BO36" s="989">
        <f t="shared" si="66"/>
        <v>9</v>
      </c>
      <c r="BP36" s="989" t="str">
        <f t="shared" si="51"/>
        <v>15.3/9.1</v>
      </c>
      <c r="BQ36" s="989">
        <f t="shared" si="67"/>
        <v>0</v>
      </c>
      <c r="BR36" s="989" t="b">
        <f t="shared" si="68"/>
        <v>1</v>
      </c>
      <c r="BS36" s="1302">
        <f t="shared" si="69"/>
        <v>7.75</v>
      </c>
      <c r="BT36" s="990" t="str">
        <f t="shared" si="70"/>
        <v>Yes</v>
      </c>
      <c r="BU36" s="1302">
        <f t="shared" si="71"/>
        <v>6</v>
      </c>
      <c r="BV36" s="990" t="str">
        <f t="shared" si="72"/>
        <v>Yes</v>
      </c>
      <c r="BW36" s="991">
        <f t="shared" ca="1" si="25"/>
        <v>0</v>
      </c>
      <c r="BX36" s="991" t="str">
        <f t="shared" ca="1" si="32"/>
        <v/>
      </c>
      <c r="BY36" s="991" t="b">
        <f t="shared" ca="1" si="26"/>
        <v>0</v>
      </c>
      <c r="BZ36" s="1303" t="b">
        <f t="shared" si="33"/>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73"/>
        <v/>
      </c>
      <c r="EN36" s="1632" t="str">
        <f t="shared" si="52"/>
        <v/>
      </c>
      <c r="EO36" s="648" t="str">
        <f t="shared" si="53"/>
        <v/>
      </c>
      <c r="EP36" s="649" t="str">
        <f t="shared" si="54"/>
        <v/>
      </c>
      <c r="EQ36" s="813" t="str">
        <f t="shared" si="55"/>
        <v/>
      </c>
      <c r="ER36" s="1586" t="str">
        <f t="shared" si="56"/>
        <v/>
      </c>
      <c r="ES36" s="1587" t="str">
        <f t="shared" si="57"/>
        <v/>
      </c>
      <c r="ET36" s="1588" t="str">
        <f t="shared" si="58"/>
        <v/>
      </c>
      <c r="EU36" s="1589" t="str">
        <f t="shared" si="59"/>
        <v/>
      </c>
      <c r="EX36" s="503" t="str">
        <f t="shared" ca="1" si="27"/>
        <v/>
      </c>
      <c r="EY36" s="940" t="str">
        <f t="shared" si="8"/>
        <v/>
      </c>
      <c r="EZ36" s="940" t="str">
        <f t="shared" si="28"/>
        <v/>
      </c>
      <c r="FA36" s="958" t="str">
        <f t="shared" ca="1" si="34"/>
        <v/>
      </c>
      <c r="FB36" s="134" t="str">
        <f t="shared" ca="1" si="29"/>
        <v/>
      </c>
      <c r="FC36" s="134">
        <f t="shared" ca="1" si="9"/>
        <v>0</v>
      </c>
      <c r="FD36" s="134">
        <f t="shared" ca="1" si="10"/>
        <v>0</v>
      </c>
      <c r="FE36" s="134">
        <f t="shared" ca="1" si="11"/>
        <v>0</v>
      </c>
      <c r="FF36" s="134">
        <f t="shared" ca="1" si="30"/>
        <v>0</v>
      </c>
      <c r="FN36" s="993" t="b">
        <v>0</v>
      </c>
      <c r="FO36" s="754" t="b">
        <f t="shared" si="74"/>
        <v>1</v>
      </c>
      <c r="FP36" s="754" t="b">
        <v>0</v>
      </c>
      <c r="FQ36" s="754" t="b">
        <f t="shared" si="31"/>
        <v>1</v>
      </c>
      <c r="FX36" s="197"/>
      <c r="FZ36" s="2"/>
      <c r="GA36" s="1761">
        <v>56</v>
      </c>
      <c r="GB36" s="1762">
        <v>0</v>
      </c>
      <c r="GC36" s="1763">
        <v>-0.25</v>
      </c>
      <c r="GD36" s="1764">
        <v>-0.875</v>
      </c>
      <c r="GE36" s="1765">
        <f t="shared" si="60"/>
        <v>0</v>
      </c>
      <c r="GF36" s="582" t="str">
        <f t="shared" si="61"/>
        <v>G9</v>
      </c>
      <c r="GG36" s="692">
        <v>0</v>
      </c>
      <c r="GH36" s="1135">
        <v>0</v>
      </c>
      <c r="GI36" s="692"/>
      <c r="GJ36" s="1135"/>
      <c r="GK36" s="1640">
        <f t="shared" si="62"/>
        <v>670.875</v>
      </c>
      <c r="GL36" s="1640">
        <f t="shared" si="63"/>
        <v>670.875</v>
      </c>
      <c r="GM36" s="1641">
        <f>IF(ABS(GK36-GL36)&gt;='Job Info.'!$L$22,ABS(GK36-GL36),0)</f>
        <v>0</v>
      </c>
      <c r="HA36" s="1241" t="s">
        <v>1409</v>
      </c>
      <c r="HB36" s="1242">
        <v>1</v>
      </c>
      <c r="HC36" s="1242" t="s">
        <v>1585</v>
      </c>
      <c r="HD36" s="1243">
        <v>55</v>
      </c>
      <c r="HE36" s="1244">
        <v>10.875</v>
      </c>
      <c r="HF36" s="1242">
        <v>11.125</v>
      </c>
      <c r="HG36" s="1242">
        <v>0</v>
      </c>
      <c r="HH36" s="1242">
        <v>1.75</v>
      </c>
      <c r="HI36" s="1242" t="s">
        <v>113</v>
      </c>
      <c r="HJ36" s="1242" t="s">
        <v>116</v>
      </c>
      <c r="HK36" s="1242" t="s">
        <v>116</v>
      </c>
      <c r="HL36" s="1242" t="s">
        <v>116</v>
      </c>
      <c r="HM36" s="1242">
        <v>7.5</v>
      </c>
      <c r="HN36" s="1242">
        <v>10</v>
      </c>
      <c r="HO36" s="1242">
        <v>0</v>
      </c>
      <c r="HP36" s="1242">
        <v>6.75</v>
      </c>
      <c r="HQ36" s="1242">
        <v>0</v>
      </c>
      <c r="HR36" s="1242">
        <v>7.125</v>
      </c>
      <c r="HS36" s="1242">
        <v>0</v>
      </c>
      <c r="HT36" s="1242">
        <v>6.25</v>
      </c>
      <c r="HU36" s="1242">
        <v>0</v>
      </c>
      <c r="HV36" s="1242">
        <v>2.125</v>
      </c>
      <c r="HW36" s="1242">
        <v>5</v>
      </c>
      <c r="HX36" s="1242" t="s">
        <v>116</v>
      </c>
      <c r="HY36" s="1246" t="s">
        <v>116</v>
      </c>
      <c r="HZ36" s="1246" t="s">
        <v>1628</v>
      </c>
      <c r="IA36" s="1246" t="s">
        <v>116</v>
      </c>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35"/>
        <v>0</v>
      </c>
    </row>
    <row r="37" spans="1:272" ht="12.6" customHeight="1" x14ac:dyDescent="0.25">
      <c r="A37" s="1448" t="s">
        <v>1410</v>
      </c>
      <c r="B37" s="1681">
        <v>1</v>
      </c>
      <c r="C37" s="1449" t="s">
        <v>1779</v>
      </c>
      <c r="D37" s="1705">
        <v>55</v>
      </c>
      <c r="E37" s="1706">
        <v>8.375</v>
      </c>
      <c r="F37" s="1707">
        <v>11.125</v>
      </c>
      <c r="G37" s="1708">
        <v>0</v>
      </c>
      <c r="H37" s="1709">
        <v>1.75</v>
      </c>
      <c r="I37" s="1710" t="s">
        <v>113</v>
      </c>
      <c r="J37" s="1705">
        <v>0</v>
      </c>
      <c r="K37" s="1709">
        <v>5</v>
      </c>
      <c r="L37" s="1711" t="s">
        <v>158</v>
      </c>
      <c r="M37" s="1712">
        <v>7.5</v>
      </c>
      <c r="N37" s="1713">
        <v>10</v>
      </c>
      <c r="O37" s="1708">
        <v>0</v>
      </c>
      <c r="P37" s="1709">
        <v>6.75</v>
      </c>
      <c r="Q37" s="1705">
        <v>0</v>
      </c>
      <c r="R37" s="1706">
        <v>4.625</v>
      </c>
      <c r="S37" s="1714">
        <v>0</v>
      </c>
      <c r="T37" s="1709">
        <v>6.25</v>
      </c>
      <c r="U37" s="1705">
        <v>0</v>
      </c>
      <c r="V37" s="1709">
        <v>4.25</v>
      </c>
      <c r="W37" s="1713">
        <v>5</v>
      </c>
      <c r="X37" s="1715" t="str">
        <f t="shared" si="48"/>
        <v/>
      </c>
      <c r="Y37" s="1716" t="str">
        <f t="shared" si="49"/>
        <v/>
      </c>
      <c r="Z37" s="2665" t="s">
        <v>1789</v>
      </c>
      <c r="AA37" s="1718" t="str">
        <f t="shared" si="50"/>
        <v/>
      </c>
      <c r="AB37" s="1448" t="str">
        <f t="shared" si="37"/>
        <v/>
      </c>
      <c r="AC37" s="1710" t="str">
        <f t="shared" si="38"/>
        <v/>
      </c>
      <c r="AD37" s="1705" t="str">
        <f t="shared" ca="1" si="39"/>
        <v/>
      </c>
      <c r="AE37" s="1709" t="str">
        <f t="shared" ca="1" si="40"/>
        <v/>
      </c>
      <c r="AF37" s="1710" t="str">
        <f t="shared" ca="1" si="41"/>
        <v/>
      </c>
      <c r="AG37" s="1705" t="str">
        <f t="shared" ca="1" si="42"/>
        <v/>
      </c>
      <c r="AH37" s="1709" t="str">
        <f t="shared" ca="1" si="43"/>
        <v/>
      </c>
      <c r="AI37" s="1705" t="str">
        <f t="shared" ca="1" si="44"/>
        <v/>
      </c>
      <c r="AJ37" s="1709" t="str">
        <f t="shared" ca="1" si="45"/>
        <v/>
      </c>
      <c r="AK37" s="1747" t="str">
        <f t="shared" si="12"/>
        <v/>
      </c>
      <c r="AL37" s="1748" t="str">
        <f t="shared" si="46"/>
        <v/>
      </c>
      <c r="AM37" s="1749" t="str">
        <f t="shared" si="80"/>
        <v/>
      </c>
      <c r="AN37" s="1710" t="str">
        <f t="shared" si="80"/>
        <v/>
      </c>
      <c r="AO37" s="1750" t="str">
        <f t="shared" si="80"/>
        <v/>
      </c>
      <c r="AP37" s="1712" t="str">
        <f t="shared" si="3"/>
        <v/>
      </c>
      <c r="AQ37" s="1751" t="str">
        <f t="shared" si="3"/>
        <v/>
      </c>
      <c r="AR37" s="1708" t="str">
        <f t="shared" si="13"/>
        <v/>
      </c>
      <c r="AS37" s="1709" t="str">
        <f t="shared" si="14"/>
        <v/>
      </c>
      <c r="AT37" s="1752" t="str">
        <f t="shared" si="15"/>
        <v/>
      </c>
      <c r="AU37" s="1753" t="str">
        <f t="shared" si="4"/>
        <v/>
      </c>
      <c r="AV37" s="1714" t="str">
        <f t="shared" si="16"/>
        <v/>
      </c>
      <c r="AW37" s="1709" t="str">
        <f t="shared" si="17"/>
        <v/>
      </c>
      <c r="AX37" s="1752" t="str">
        <f t="shared" si="18"/>
        <v/>
      </c>
      <c r="AY37" s="1753" t="str">
        <f t="shared" si="5"/>
        <v/>
      </c>
      <c r="AZ37" s="1714" t="str">
        <f t="shared" si="19"/>
        <v/>
      </c>
      <c r="BA37" s="1709" t="str">
        <f t="shared" si="20"/>
        <v/>
      </c>
      <c r="BB37" s="1752" t="str">
        <f t="shared" si="21"/>
        <v/>
      </c>
      <c r="BC37" s="1753" t="str">
        <f t="shared" si="6"/>
        <v/>
      </c>
      <c r="BD37" s="1714" t="str">
        <f t="shared" si="22"/>
        <v/>
      </c>
      <c r="BE37" s="1709" t="str">
        <f t="shared" si="23"/>
        <v/>
      </c>
      <c r="BF37" s="1752" t="str">
        <f t="shared" si="24"/>
        <v/>
      </c>
      <c r="BG37" s="1753" t="str">
        <f t="shared" si="7"/>
        <v/>
      </c>
      <c r="BH37" s="261"/>
      <c r="BJ37" s="1301" t="str">
        <f t="shared" si="75"/>
        <v>G10</v>
      </c>
      <c r="BK37" s="993" t="b">
        <f t="shared" si="79"/>
        <v>0</v>
      </c>
      <c r="BL37" s="1800" t="b">
        <v>0</v>
      </c>
      <c r="BM37" s="989">
        <f t="shared" si="64"/>
        <v>52</v>
      </c>
      <c r="BN37" s="989" t="str">
        <f t="shared" si="65"/>
        <v>VG</v>
      </c>
      <c r="BO37" s="989">
        <f t="shared" si="66"/>
        <v>9</v>
      </c>
      <c r="BP37" s="989" t="str">
        <f t="shared" si="51"/>
        <v>15.3/9.1</v>
      </c>
      <c r="BQ37" s="989">
        <f t="shared" si="67"/>
        <v>0</v>
      </c>
      <c r="BR37" s="989" t="b">
        <f t="shared" si="68"/>
        <v>1</v>
      </c>
      <c r="BS37" s="1302">
        <f t="shared" si="69"/>
        <v>7.75</v>
      </c>
      <c r="BT37" s="990" t="str">
        <f t="shared" si="70"/>
        <v>Yes</v>
      </c>
      <c r="BU37" s="1302">
        <f t="shared" si="71"/>
        <v>6</v>
      </c>
      <c r="BV37" s="990" t="str">
        <f t="shared" si="72"/>
        <v>Yes</v>
      </c>
      <c r="BW37" s="991">
        <f t="shared" ca="1" si="25"/>
        <v>0</v>
      </c>
      <c r="BX37" s="991" t="str">
        <f t="shared" ca="1" si="32"/>
        <v/>
      </c>
      <c r="BY37" s="991" t="b">
        <f t="shared" ca="1" si="26"/>
        <v>0</v>
      </c>
      <c r="BZ37" s="1303" t="b">
        <f t="shared" si="33"/>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73"/>
        <v/>
      </c>
      <c r="EN37" s="1632" t="str">
        <f t="shared" si="52"/>
        <v/>
      </c>
      <c r="EO37" s="648" t="str">
        <f t="shared" si="53"/>
        <v/>
      </c>
      <c r="EP37" s="649" t="str">
        <f t="shared" si="54"/>
        <v/>
      </c>
      <c r="EQ37" s="813" t="str">
        <f t="shared" si="55"/>
        <v/>
      </c>
      <c r="ER37" s="1586" t="str">
        <f t="shared" si="56"/>
        <v/>
      </c>
      <c r="ES37" s="1587" t="str">
        <f t="shared" si="57"/>
        <v/>
      </c>
      <c r="ET37" s="1588" t="str">
        <f t="shared" si="58"/>
        <v/>
      </c>
      <c r="EU37" s="1589" t="str">
        <f t="shared" si="59"/>
        <v/>
      </c>
      <c r="EX37" s="503" t="str">
        <f t="shared" ca="1" si="27"/>
        <v/>
      </c>
      <c r="EY37" s="940" t="str">
        <f t="shared" si="8"/>
        <v/>
      </c>
      <c r="EZ37" s="940" t="str">
        <f t="shared" si="28"/>
        <v/>
      </c>
      <c r="FA37" s="958" t="str">
        <f t="shared" ca="1" si="34"/>
        <v/>
      </c>
      <c r="FB37" s="134" t="str">
        <f t="shared" ca="1" si="29"/>
        <v/>
      </c>
      <c r="FC37" s="134">
        <f t="shared" ca="1" si="9"/>
        <v>0</v>
      </c>
      <c r="FD37" s="134">
        <f t="shared" ca="1" si="10"/>
        <v>0</v>
      </c>
      <c r="FE37" s="134">
        <f t="shared" ca="1" si="11"/>
        <v>0</v>
      </c>
      <c r="FF37" s="134">
        <f t="shared" ca="1" si="30"/>
        <v>0</v>
      </c>
      <c r="FN37" s="993" t="b">
        <v>0</v>
      </c>
      <c r="FO37" s="754" t="b">
        <f t="shared" si="74"/>
        <v>1</v>
      </c>
      <c r="FP37" s="754" t="b">
        <v>0</v>
      </c>
      <c r="FQ37" s="754" t="b">
        <f t="shared" si="31"/>
        <v>1</v>
      </c>
      <c r="FX37" s="197"/>
      <c r="FZ37" s="2"/>
      <c r="GA37" s="1761">
        <v>56</v>
      </c>
      <c r="GB37" s="1762">
        <v>0</v>
      </c>
      <c r="GC37" s="1763">
        <v>-0.25</v>
      </c>
      <c r="GD37" s="1764">
        <v>-3.375</v>
      </c>
      <c r="GE37" s="1765">
        <f t="shared" si="60"/>
        <v>0</v>
      </c>
      <c r="GF37" s="582" t="str">
        <f t="shared" si="61"/>
        <v>G10</v>
      </c>
      <c r="GG37" s="692">
        <v>0</v>
      </c>
      <c r="GH37" s="1135">
        <v>0</v>
      </c>
      <c r="GI37" s="692"/>
      <c r="GJ37" s="1135"/>
      <c r="GK37" s="1640">
        <f t="shared" si="62"/>
        <v>668.375</v>
      </c>
      <c r="GL37" s="1640">
        <f t="shared" si="63"/>
        <v>668.375</v>
      </c>
      <c r="GM37" s="1641">
        <f>IF(ABS(GK37-GL37)&gt;='Job Info.'!$L$22,ABS(GK37-GL37),0)</f>
        <v>0</v>
      </c>
      <c r="HA37" s="1241" t="s">
        <v>1410</v>
      </c>
      <c r="HB37" s="1242">
        <v>1</v>
      </c>
      <c r="HC37" s="1242" t="s">
        <v>1585</v>
      </c>
      <c r="HD37" s="1243">
        <v>55</v>
      </c>
      <c r="HE37" s="1244">
        <v>8.375</v>
      </c>
      <c r="HF37" s="1242">
        <v>11.125</v>
      </c>
      <c r="HG37" s="1242">
        <v>0</v>
      </c>
      <c r="HH37" s="1242">
        <v>1.75</v>
      </c>
      <c r="HI37" s="1242" t="s">
        <v>113</v>
      </c>
      <c r="HJ37" s="1242">
        <v>0</v>
      </c>
      <c r="HK37" s="1242">
        <v>5</v>
      </c>
      <c r="HL37" s="1242" t="s">
        <v>158</v>
      </c>
      <c r="HM37" s="1242">
        <v>7.5</v>
      </c>
      <c r="HN37" s="1242">
        <v>10</v>
      </c>
      <c r="HO37" s="1242">
        <v>0</v>
      </c>
      <c r="HP37" s="1242">
        <v>6.75</v>
      </c>
      <c r="HQ37" s="1242">
        <v>0</v>
      </c>
      <c r="HR37" s="1242">
        <v>4.625</v>
      </c>
      <c r="HS37" s="1242">
        <v>0</v>
      </c>
      <c r="HT37" s="1242">
        <v>6.25</v>
      </c>
      <c r="HU37" s="1242">
        <v>0</v>
      </c>
      <c r="HV37" s="1242">
        <v>4.25</v>
      </c>
      <c r="HW37" s="1242">
        <v>5</v>
      </c>
      <c r="HX37" s="1242" t="s">
        <v>116</v>
      </c>
      <c r="HY37" s="1246" t="s">
        <v>116</v>
      </c>
      <c r="HZ37" s="1246" t="s">
        <v>1629</v>
      </c>
      <c r="IA37" s="1246" t="s">
        <v>116</v>
      </c>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35"/>
        <v>0</v>
      </c>
    </row>
    <row r="38" spans="1:272" ht="12.6" customHeight="1" x14ac:dyDescent="0.25">
      <c r="A38" s="1448" t="s">
        <v>1411</v>
      </c>
      <c r="B38" s="1681">
        <v>1</v>
      </c>
      <c r="C38" s="1449" t="s">
        <v>1779</v>
      </c>
      <c r="D38" s="1705">
        <v>55</v>
      </c>
      <c r="E38" s="1706">
        <v>11.5</v>
      </c>
      <c r="F38" s="1707">
        <v>11.125</v>
      </c>
      <c r="G38" s="1708">
        <v>0</v>
      </c>
      <c r="H38" s="1709">
        <v>1.75</v>
      </c>
      <c r="I38" s="1710" t="s">
        <v>113</v>
      </c>
      <c r="J38" s="1705">
        <v>0</v>
      </c>
      <c r="K38" s="1709">
        <v>1.75</v>
      </c>
      <c r="L38" s="1711" t="s">
        <v>113</v>
      </c>
      <c r="M38" s="1712">
        <v>7.5</v>
      </c>
      <c r="N38" s="1713">
        <v>7.5</v>
      </c>
      <c r="O38" s="1708">
        <v>0</v>
      </c>
      <c r="P38" s="1709">
        <v>6.75</v>
      </c>
      <c r="Q38" s="1705">
        <v>0</v>
      </c>
      <c r="R38" s="1706">
        <v>6.75</v>
      </c>
      <c r="S38" s="1714">
        <v>0</v>
      </c>
      <c r="T38" s="1709">
        <v>6.25</v>
      </c>
      <c r="U38" s="1705">
        <v>0</v>
      </c>
      <c r="V38" s="1709">
        <v>6.25</v>
      </c>
      <c r="W38" s="1713">
        <v>5</v>
      </c>
      <c r="X38" s="1715" t="str">
        <f t="shared" si="48"/>
        <v/>
      </c>
      <c r="Y38" s="1716" t="str">
        <f t="shared" si="49"/>
        <v/>
      </c>
      <c r="Z38" s="1717" t="s">
        <v>116</v>
      </c>
      <c r="AA38" s="1718" t="str">
        <f t="shared" si="50"/>
        <v/>
      </c>
      <c r="AB38" s="1448" t="str">
        <f t="shared" si="37"/>
        <v/>
      </c>
      <c r="AC38" s="1710" t="str">
        <f t="shared" si="38"/>
        <v/>
      </c>
      <c r="AD38" s="1705" t="str">
        <f t="shared" ca="1" si="39"/>
        <v/>
      </c>
      <c r="AE38" s="1709" t="str">
        <f t="shared" ca="1" si="40"/>
        <v/>
      </c>
      <c r="AF38" s="1710" t="str">
        <f t="shared" ca="1" si="41"/>
        <v/>
      </c>
      <c r="AG38" s="1705" t="str">
        <f t="shared" ca="1" si="42"/>
        <v/>
      </c>
      <c r="AH38" s="1709" t="str">
        <f t="shared" ca="1" si="43"/>
        <v/>
      </c>
      <c r="AI38" s="1705" t="str">
        <f t="shared" ca="1" si="44"/>
        <v/>
      </c>
      <c r="AJ38" s="1709" t="str">
        <f t="shared" ca="1" si="45"/>
        <v/>
      </c>
      <c r="AK38" s="1747" t="str">
        <f t="shared" si="12"/>
        <v/>
      </c>
      <c r="AL38" s="1748" t="str">
        <f t="shared" si="46"/>
        <v/>
      </c>
      <c r="AM38" s="1749" t="str">
        <f t="shared" si="80"/>
        <v/>
      </c>
      <c r="AN38" s="1710" t="str">
        <f t="shared" si="80"/>
        <v/>
      </c>
      <c r="AO38" s="1750" t="str">
        <f t="shared" si="80"/>
        <v/>
      </c>
      <c r="AP38" s="1712" t="str">
        <f t="shared" si="3"/>
        <v/>
      </c>
      <c r="AQ38" s="1751" t="str">
        <f t="shared" si="3"/>
        <v/>
      </c>
      <c r="AR38" s="1708" t="str">
        <f t="shared" si="13"/>
        <v/>
      </c>
      <c r="AS38" s="1709" t="str">
        <f t="shared" si="14"/>
        <v/>
      </c>
      <c r="AT38" s="1752" t="str">
        <f t="shared" si="15"/>
        <v/>
      </c>
      <c r="AU38" s="1753" t="str">
        <f t="shared" si="4"/>
        <v/>
      </c>
      <c r="AV38" s="1714" t="str">
        <f t="shared" si="16"/>
        <v/>
      </c>
      <c r="AW38" s="1709" t="str">
        <f t="shared" si="17"/>
        <v/>
      </c>
      <c r="AX38" s="1752" t="str">
        <f t="shared" si="18"/>
        <v/>
      </c>
      <c r="AY38" s="1753" t="str">
        <f t="shared" si="5"/>
        <v/>
      </c>
      <c r="AZ38" s="1714" t="str">
        <f t="shared" si="19"/>
        <v/>
      </c>
      <c r="BA38" s="1709" t="str">
        <f t="shared" si="20"/>
        <v/>
      </c>
      <c r="BB38" s="1752" t="str">
        <f t="shared" si="21"/>
        <v/>
      </c>
      <c r="BC38" s="1753" t="str">
        <f t="shared" si="6"/>
        <v/>
      </c>
      <c r="BD38" s="1714" t="str">
        <f t="shared" si="22"/>
        <v/>
      </c>
      <c r="BE38" s="1709" t="str">
        <f t="shared" si="23"/>
        <v/>
      </c>
      <c r="BF38" s="1752" t="str">
        <f t="shared" si="24"/>
        <v/>
      </c>
      <c r="BG38" s="1753" t="str">
        <f t="shared" si="7"/>
        <v/>
      </c>
      <c r="BH38" s="261"/>
      <c r="BJ38" s="1301" t="str">
        <f t="shared" si="75"/>
        <v>G11</v>
      </c>
      <c r="BK38" s="993" t="b">
        <f t="shared" si="79"/>
        <v>0</v>
      </c>
      <c r="BL38" s="1800" t="b">
        <v>0</v>
      </c>
      <c r="BM38" s="989">
        <f t="shared" si="64"/>
        <v>52</v>
      </c>
      <c r="BN38" s="989" t="str">
        <f t="shared" si="65"/>
        <v>VG</v>
      </c>
      <c r="BO38" s="989">
        <f t="shared" si="66"/>
        <v>9</v>
      </c>
      <c r="BP38" s="989" t="str">
        <f t="shared" si="51"/>
        <v>15.3/9.1</v>
      </c>
      <c r="BQ38" s="989">
        <f t="shared" si="67"/>
        <v>0</v>
      </c>
      <c r="BR38" s="989" t="b">
        <f t="shared" si="68"/>
        <v>1</v>
      </c>
      <c r="BS38" s="1302">
        <f t="shared" si="69"/>
        <v>7.75</v>
      </c>
      <c r="BT38" s="990" t="str">
        <f t="shared" si="70"/>
        <v>Yes</v>
      </c>
      <c r="BU38" s="1302">
        <f t="shared" si="71"/>
        <v>7.75</v>
      </c>
      <c r="BV38" s="990" t="str">
        <f t="shared" si="72"/>
        <v>Yes</v>
      </c>
      <c r="BW38" s="991">
        <f t="shared" ca="1" si="25"/>
        <v>0</v>
      </c>
      <c r="BX38" s="991" t="str">
        <f t="shared" ca="1" si="32"/>
        <v/>
      </c>
      <c r="BY38" s="991" t="b">
        <f t="shared" ca="1" si="26"/>
        <v>0</v>
      </c>
      <c r="BZ38" s="1303" t="b">
        <f t="shared" si="33"/>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73"/>
        <v/>
      </c>
      <c r="EN38" s="1632" t="str">
        <f t="shared" si="52"/>
        <v/>
      </c>
      <c r="EO38" s="648" t="str">
        <f t="shared" si="53"/>
        <v/>
      </c>
      <c r="EP38" s="649" t="str">
        <f t="shared" si="54"/>
        <v/>
      </c>
      <c r="EQ38" s="813" t="str">
        <f t="shared" si="55"/>
        <v/>
      </c>
      <c r="ER38" s="1586" t="str">
        <f t="shared" si="56"/>
        <v/>
      </c>
      <c r="ES38" s="1587" t="str">
        <f t="shared" si="57"/>
        <v/>
      </c>
      <c r="ET38" s="1588" t="str">
        <f t="shared" si="58"/>
        <v/>
      </c>
      <c r="EU38" s="1589" t="str">
        <f t="shared" si="59"/>
        <v/>
      </c>
      <c r="EX38" s="503" t="str">
        <f t="shared" ca="1" si="27"/>
        <v/>
      </c>
      <c r="EY38" s="940" t="str">
        <f t="shared" si="8"/>
        <v/>
      </c>
      <c r="EZ38" s="940" t="str">
        <f t="shared" si="28"/>
        <v/>
      </c>
      <c r="FA38" s="958" t="str">
        <f t="shared" ca="1" si="34"/>
        <v/>
      </c>
      <c r="FB38" s="134" t="str">
        <f t="shared" ca="1" si="29"/>
        <v/>
      </c>
      <c r="FC38" s="134">
        <f t="shared" ca="1" si="9"/>
        <v>0</v>
      </c>
      <c r="FD38" s="134">
        <f t="shared" ca="1" si="10"/>
        <v>0</v>
      </c>
      <c r="FE38" s="134">
        <f t="shared" ca="1" si="11"/>
        <v>0</v>
      </c>
      <c r="FF38" s="134">
        <f t="shared" ca="1" si="30"/>
        <v>0</v>
      </c>
      <c r="FN38" s="993" t="b">
        <v>0</v>
      </c>
      <c r="FO38" s="754" t="b">
        <f t="shared" si="74"/>
        <v>1</v>
      </c>
      <c r="FP38" s="754" t="b">
        <v>0</v>
      </c>
      <c r="FQ38" s="754" t="b">
        <f t="shared" si="31"/>
        <v>1</v>
      </c>
      <c r="FX38" s="197"/>
      <c r="FZ38" s="2"/>
      <c r="GA38" s="1761">
        <v>56</v>
      </c>
      <c r="GB38" s="1762">
        <v>0</v>
      </c>
      <c r="GC38" s="1763">
        <v>-0.25</v>
      </c>
      <c r="GD38" s="1764">
        <v>-0.25</v>
      </c>
      <c r="GE38" s="1765">
        <f t="shared" si="60"/>
        <v>0</v>
      </c>
      <c r="GF38" s="582" t="str">
        <f t="shared" si="61"/>
        <v>G11</v>
      </c>
      <c r="GG38" s="692">
        <v>0</v>
      </c>
      <c r="GH38" s="1135">
        <v>0</v>
      </c>
      <c r="GI38" s="692"/>
      <c r="GJ38" s="1135"/>
      <c r="GK38" s="1640">
        <f t="shared" si="62"/>
        <v>671.5</v>
      </c>
      <c r="GL38" s="1640">
        <f t="shared" si="63"/>
        <v>671.5</v>
      </c>
      <c r="GM38" s="1641">
        <f>IF(ABS(GK38-GL38)&gt;='Job Info.'!$L$22,ABS(GK38-GL38),0)</f>
        <v>0</v>
      </c>
      <c r="HA38" s="1241" t="s">
        <v>1411</v>
      </c>
      <c r="HB38" s="1242">
        <v>1</v>
      </c>
      <c r="HC38" s="1242" t="s">
        <v>1585</v>
      </c>
      <c r="HD38" s="1243">
        <v>55</v>
      </c>
      <c r="HE38" s="1244">
        <v>11.5</v>
      </c>
      <c r="HF38" s="1242">
        <v>11.125</v>
      </c>
      <c r="HG38" s="1242">
        <v>0</v>
      </c>
      <c r="HH38" s="1242">
        <v>1.75</v>
      </c>
      <c r="HI38" s="1242" t="s">
        <v>113</v>
      </c>
      <c r="HJ38" s="1242">
        <v>0</v>
      </c>
      <c r="HK38" s="1242">
        <v>1.75</v>
      </c>
      <c r="HL38" s="1242" t="s">
        <v>113</v>
      </c>
      <c r="HM38" s="1242">
        <v>7.5</v>
      </c>
      <c r="HN38" s="1242">
        <v>7.5</v>
      </c>
      <c r="HO38" s="1242">
        <v>0</v>
      </c>
      <c r="HP38" s="1242">
        <v>6.75</v>
      </c>
      <c r="HQ38" s="1242">
        <v>0</v>
      </c>
      <c r="HR38" s="1242">
        <v>6.75</v>
      </c>
      <c r="HS38" s="1242">
        <v>0</v>
      </c>
      <c r="HT38" s="1242">
        <v>6.25</v>
      </c>
      <c r="HU38" s="1242">
        <v>0</v>
      </c>
      <c r="HV38" s="1242">
        <v>6.25</v>
      </c>
      <c r="HW38" s="1242">
        <v>5</v>
      </c>
      <c r="HX38" s="1242" t="s">
        <v>116</v>
      </c>
      <c r="HY38" s="1246" t="s">
        <v>116</v>
      </c>
      <c r="HZ38" s="1246" t="s">
        <v>116</v>
      </c>
      <c r="IA38" s="1246" t="s">
        <v>116</v>
      </c>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35"/>
        <v>0</v>
      </c>
    </row>
    <row r="39" spans="1:272" ht="12.6" customHeight="1" x14ac:dyDescent="0.25">
      <c r="A39" s="1448" t="s">
        <v>1412</v>
      </c>
      <c r="B39" s="1681">
        <v>2</v>
      </c>
      <c r="C39" s="1449" t="s">
        <v>1780</v>
      </c>
      <c r="D39" s="1705">
        <v>55</v>
      </c>
      <c r="E39" s="1706">
        <v>6.25</v>
      </c>
      <c r="F39" s="1707">
        <v>11.125</v>
      </c>
      <c r="G39" s="1708">
        <v>0</v>
      </c>
      <c r="H39" s="1709">
        <v>1.75</v>
      </c>
      <c r="I39" s="1710" t="s">
        <v>113</v>
      </c>
      <c r="J39" s="1705">
        <v>0</v>
      </c>
      <c r="K39" s="1709">
        <v>0.5</v>
      </c>
      <c r="L39" s="1711" t="s">
        <v>113</v>
      </c>
      <c r="M39" s="1712">
        <v>7.5</v>
      </c>
      <c r="N39" s="1713">
        <v>7.5</v>
      </c>
      <c r="O39" s="1708">
        <v>0</v>
      </c>
      <c r="P39" s="1709">
        <v>6.75</v>
      </c>
      <c r="Q39" s="1705">
        <v>0</v>
      </c>
      <c r="R39" s="1706">
        <v>5.5</v>
      </c>
      <c r="S39" s="1714">
        <v>0</v>
      </c>
      <c r="T39" s="1709">
        <v>6.25</v>
      </c>
      <c r="U39" s="1705">
        <v>0</v>
      </c>
      <c r="V39" s="1709">
        <v>5</v>
      </c>
      <c r="W39" s="1713">
        <v>5</v>
      </c>
      <c r="X39" s="1715" t="str">
        <f t="shared" si="48"/>
        <v/>
      </c>
      <c r="Y39" s="1716" t="str">
        <f t="shared" si="49"/>
        <v/>
      </c>
      <c r="Z39" s="1717" t="s">
        <v>1790</v>
      </c>
      <c r="AA39" s="1718" t="str">
        <f t="shared" si="50"/>
        <v/>
      </c>
      <c r="AB39" s="1448" t="str">
        <f t="shared" si="37"/>
        <v/>
      </c>
      <c r="AC39" s="1710" t="str">
        <f t="shared" si="38"/>
        <v/>
      </c>
      <c r="AD39" s="1705" t="str">
        <f t="shared" ca="1" si="39"/>
        <v/>
      </c>
      <c r="AE39" s="1709" t="str">
        <f t="shared" ca="1" si="40"/>
        <v/>
      </c>
      <c r="AF39" s="1710" t="str">
        <f t="shared" ca="1" si="41"/>
        <v/>
      </c>
      <c r="AG39" s="1705" t="str">
        <f t="shared" ca="1" si="42"/>
        <v/>
      </c>
      <c r="AH39" s="1709" t="str">
        <f t="shared" ca="1" si="43"/>
        <v/>
      </c>
      <c r="AI39" s="1705" t="str">
        <f t="shared" ca="1" si="44"/>
        <v/>
      </c>
      <c r="AJ39" s="1709" t="str">
        <f t="shared" ca="1" si="45"/>
        <v/>
      </c>
      <c r="AK39" s="1747" t="str">
        <f t="shared" si="12"/>
        <v/>
      </c>
      <c r="AL39" s="1748" t="str">
        <f t="shared" si="46"/>
        <v/>
      </c>
      <c r="AM39" s="1749" t="str">
        <f t="shared" si="80"/>
        <v/>
      </c>
      <c r="AN39" s="1710" t="str">
        <f t="shared" si="80"/>
        <v/>
      </c>
      <c r="AO39" s="1750" t="str">
        <f t="shared" si="80"/>
        <v/>
      </c>
      <c r="AP39" s="1712" t="str">
        <f t="shared" si="3"/>
        <v/>
      </c>
      <c r="AQ39" s="1751" t="str">
        <f t="shared" si="3"/>
        <v/>
      </c>
      <c r="AR39" s="1708" t="str">
        <f t="shared" si="13"/>
        <v/>
      </c>
      <c r="AS39" s="1709" t="str">
        <f t="shared" si="14"/>
        <v/>
      </c>
      <c r="AT39" s="1752" t="str">
        <f t="shared" si="15"/>
        <v/>
      </c>
      <c r="AU39" s="1753" t="str">
        <f t="shared" si="4"/>
        <v/>
      </c>
      <c r="AV39" s="1714" t="str">
        <f t="shared" si="16"/>
        <v/>
      </c>
      <c r="AW39" s="1709" t="str">
        <f t="shared" si="17"/>
        <v/>
      </c>
      <c r="AX39" s="1752" t="str">
        <f t="shared" si="18"/>
        <v/>
      </c>
      <c r="AY39" s="1753" t="str">
        <f t="shared" si="5"/>
        <v/>
      </c>
      <c r="AZ39" s="1714" t="str">
        <f t="shared" si="19"/>
        <v/>
      </c>
      <c r="BA39" s="1709" t="str">
        <f t="shared" si="20"/>
        <v/>
      </c>
      <c r="BB39" s="1752" t="str">
        <f t="shared" si="21"/>
        <v/>
      </c>
      <c r="BC39" s="1753" t="str">
        <f t="shared" si="6"/>
        <v/>
      </c>
      <c r="BD39" s="1714" t="str">
        <f t="shared" si="22"/>
        <v/>
      </c>
      <c r="BE39" s="1709" t="str">
        <f t="shared" si="23"/>
        <v/>
      </c>
      <c r="BF39" s="1752" t="str">
        <f t="shared" si="24"/>
        <v/>
      </c>
      <c r="BG39" s="1753" t="str">
        <f t="shared" si="7"/>
        <v/>
      </c>
      <c r="BH39" s="261"/>
      <c r="BJ39" s="1301" t="str">
        <f t="shared" si="75"/>
        <v>G12</v>
      </c>
      <c r="BK39" s="993" t="b">
        <f t="shared" si="79"/>
        <v>0</v>
      </c>
      <c r="BL39" s="1800" t="b">
        <v>0</v>
      </c>
      <c r="BM39" s="989">
        <f t="shared" si="64"/>
        <v>48</v>
      </c>
      <c r="BN39" s="989" t="str">
        <f t="shared" si="65"/>
        <v>VG</v>
      </c>
      <c r="BO39" s="989">
        <f t="shared" si="66"/>
        <v>9</v>
      </c>
      <c r="BP39" s="989" t="str">
        <f t="shared" si="51"/>
        <v>13.8/8.2</v>
      </c>
      <c r="BQ39" s="989">
        <f t="shared" si="67"/>
        <v>0</v>
      </c>
      <c r="BR39" s="989" t="b">
        <f t="shared" si="68"/>
        <v>1</v>
      </c>
      <c r="BS39" s="1302">
        <f t="shared" si="69"/>
        <v>7.75</v>
      </c>
      <c r="BT39" s="990" t="str">
        <f t="shared" si="70"/>
        <v>Yes</v>
      </c>
      <c r="BU39" s="1302">
        <f t="shared" si="71"/>
        <v>6.5</v>
      </c>
      <c r="BV39" s="990" t="str">
        <f t="shared" si="72"/>
        <v>Yes</v>
      </c>
      <c r="BW39" s="991">
        <f t="shared" ca="1" si="25"/>
        <v>0</v>
      </c>
      <c r="BX39" s="991" t="str">
        <f t="shared" ca="1" si="32"/>
        <v/>
      </c>
      <c r="BY39" s="991" t="b">
        <f t="shared" ca="1" si="26"/>
        <v>0</v>
      </c>
      <c r="BZ39" s="1303" t="b">
        <f t="shared" si="33"/>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73"/>
        <v/>
      </c>
      <c r="EN39" s="1632" t="str">
        <f t="shared" si="52"/>
        <v/>
      </c>
      <c r="EO39" s="648" t="str">
        <f t="shared" si="53"/>
        <v/>
      </c>
      <c r="EP39" s="649" t="str">
        <f t="shared" si="54"/>
        <v/>
      </c>
      <c r="EQ39" s="813" t="str">
        <f t="shared" si="55"/>
        <v/>
      </c>
      <c r="ER39" s="1586" t="str">
        <f t="shared" si="56"/>
        <v/>
      </c>
      <c r="ES39" s="1587" t="str">
        <f t="shared" si="57"/>
        <v/>
      </c>
      <c r="ET39" s="1588" t="str">
        <f t="shared" si="58"/>
        <v/>
      </c>
      <c r="EU39" s="1589" t="str">
        <f t="shared" si="59"/>
        <v/>
      </c>
      <c r="EX39" s="503" t="str">
        <f t="shared" ca="1" si="27"/>
        <v/>
      </c>
      <c r="EY39" s="940" t="str">
        <f t="shared" si="8"/>
        <v/>
      </c>
      <c r="EZ39" s="940" t="str">
        <f t="shared" si="28"/>
        <v/>
      </c>
      <c r="FA39" s="958" t="str">
        <f t="shared" ca="1" si="34"/>
        <v/>
      </c>
      <c r="FB39" s="134" t="str">
        <f t="shared" ca="1" si="29"/>
        <v/>
      </c>
      <c r="FC39" s="134">
        <f t="shared" ca="1" si="9"/>
        <v>0</v>
      </c>
      <c r="FD39" s="134">
        <f t="shared" ca="1" si="10"/>
        <v>0</v>
      </c>
      <c r="FE39" s="134">
        <f t="shared" ca="1" si="11"/>
        <v>0</v>
      </c>
      <c r="FF39" s="134">
        <f t="shared" ca="1" si="30"/>
        <v>0</v>
      </c>
      <c r="FN39" s="993" t="b">
        <v>0</v>
      </c>
      <c r="FO39" s="754" t="b">
        <f t="shared" si="74"/>
        <v>1</v>
      </c>
      <c r="FP39" s="754" t="b">
        <v>0</v>
      </c>
      <c r="FQ39" s="754" t="b">
        <f t="shared" si="31"/>
        <v>1</v>
      </c>
      <c r="FX39" s="197"/>
      <c r="FZ39" s="2"/>
      <c r="GA39" s="1761">
        <v>55</v>
      </c>
      <c r="GB39" s="1762">
        <v>3</v>
      </c>
      <c r="GC39" s="1763">
        <v>-0.25</v>
      </c>
      <c r="GD39" s="1764">
        <v>3.5</v>
      </c>
      <c r="GE39" s="1765">
        <f t="shared" si="60"/>
        <v>0</v>
      </c>
      <c r="GF39" s="582" t="str">
        <f t="shared" si="61"/>
        <v>G12</v>
      </c>
      <c r="GG39" s="692">
        <v>0</v>
      </c>
      <c r="GH39" s="1135">
        <v>0</v>
      </c>
      <c r="GI39" s="692"/>
      <c r="GJ39" s="1135"/>
      <c r="GK39" s="1640">
        <f t="shared" si="62"/>
        <v>666.25</v>
      </c>
      <c r="GL39" s="1640">
        <f t="shared" si="63"/>
        <v>666.25</v>
      </c>
      <c r="GM39" s="1641">
        <f>IF(ABS(GK39-GL39)&gt;='Job Info.'!$L$22,ABS(GK39-GL39),0)</f>
        <v>0</v>
      </c>
      <c r="HA39" s="1241" t="s">
        <v>1412</v>
      </c>
      <c r="HB39" s="1242">
        <v>2</v>
      </c>
      <c r="HC39" s="1242" t="s">
        <v>1586</v>
      </c>
      <c r="HD39" s="1243">
        <v>55</v>
      </c>
      <c r="HE39" s="1244">
        <v>6.25</v>
      </c>
      <c r="HF39" s="1242">
        <v>11.125</v>
      </c>
      <c r="HG39" s="1242">
        <v>0</v>
      </c>
      <c r="HH39" s="1242">
        <v>1.75</v>
      </c>
      <c r="HI39" s="1242" t="s">
        <v>113</v>
      </c>
      <c r="HJ39" s="1242">
        <v>0</v>
      </c>
      <c r="HK39" s="1242">
        <v>0.5</v>
      </c>
      <c r="HL39" s="1242" t="s">
        <v>113</v>
      </c>
      <c r="HM39" s="1242">
        <v>7.5</v>
      </c>
      <c r="HN39" s="1242">
        <v>7.5</v>
      </c>
      <c r="HO39" s="1242">
        <v>0</v>
      </c>
      <c r="HP39" s="1242">
        <v>6.75</v>
      </c>
      <c r="HQ39" s="1242">
        <v>0</v>
      </c>
      <c r="HR39" s="1242">
        <v>5.5</v>
      </c>
      <c r="HS39" s="1242">
        <v>0</v>
      </c>
      <c r="HT39" s="1242">
        <v>6.25</v>
      </c>
      <c r="HU39" s="1242">
        <v>0</v>
      </c>
      <c r="HV39" s="1242">
        <v>5</v>
      </c>
      <c r="HW39" s="1242">
        <v>5</v>
      </c>
      <c r="HX39" s="1242" t="s">
        <v>116</v>
      </c>
      <c r="HY39" s="1246" t="s">
        <v>116</v>
      </c>
      <c r="HZ39" s="1246" t="s">
        <v>1626</v>
      </c>
      <c r="IA39" s="1246" t="s">
        <v>116</v>
      </c>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35"/>
        <v>0</v>
      </c>
    </row>
    <row r="40" spans="1:272" ht="12.6" customHeight="1" x14ac:dyDescent="0.25">
      <c r="A40" s="1448" t="s">
        <v>1413</v>
      </c>
      <c r="B40" s="1681">
        <v>5</v>
      </c>
      <c r="C40" s="1449" t="s">
        <v>1780</v>
      </c>
      <c r="D40" s="1705">
        <v>55</v>
      </c>
      <c r="E40" s="1706">
        <v>11.5</v>
      </c>
      <c r="F40" s="1707">
        <v>11.125</v>
      </c>
      <c r="G40" s="1708">
        <v>0</v>
      </c>
      <c r="H40" s="1709">
        <v>1.75</v>
      </c>
      <c r="I40" s="1710" t="s">
        <v>113</v>
      </c>
      <c r="J40" s="1705">
        <v>0</v>
      </c>
      <c r="K40" s="1709">
        <v>1.75</v>
      </c>
      <c r="L40" s="1711" t="s">
        <v>113</v>
      </c>
      <c r="M40" s="1712">
        <v>7.5</v>
      </c>
      <c r="N40" s="1713">
        <v>7.5</v>
      </c>
      <c r="O40" s="1708">
        <v>0</v>
      </c>
      <c r="P40" s="1709">
        <v>6.75</v>
      </c>
      <c r="Q40" s="1705">
        <v>0</v>
      </c>
      <c r="R40" s="1706">
        <v>6.75</v>
      </c>
      <c r="S40" s="1714">
        <v>0</v>
      </c>
      <c r="T40" s="1709">
        <v>6.25</v>
      </c>
      <c r="U40" s="1705">
        <v>0</v>
      </c>
      <c r="V40" s="1709">
        <v>6.25</v>
      </c>
      <c r="W40" s="1713">
        <v>5</v>
      </c>
      <c r="X40" s="1715" t="str">
        <f t="shared" si="48"/>
        <v/>
      </c>
      <c r="Y40" s="1716" t="str">
        <f t="shared" si="49"/>
        <v/>
      </c>
      <c r="Z40" s="1717" t="s">
        <v>1627</v>
      </c>
      <c r="AA40" s="1718" t="str">
        <f t="shared" si="50"/>
        <v/>
      </c>
      <c r="AB40" s="1448" t="str">
        <f t="shared" si="37"/>
        <v/>
      </c>
      <c r="AC40" s="1710" t="str">
        <f t="shared" si="38"/>
        <v/>
      </c>
      <c r="AD40" s="1705" t="str">
        <f t="shared" ca="1" si="39"/>
        <v/>
      </c>
      <c r="AE40" s="1709" t="str">
        <f t="shared" ca="1" si="40"/>
        <v/>
      </c>
      <c r="AF40" s="1710" t="str">
        <f t="shared" ca="1" si="41"/>
        <v/>
      </c>
      <c r="AG40" s="1705" t="str">
        <f t="shared" ca="1" si="42"/>
        <v/>
      </c>
      <c r="AH40" s="1709" t="str">
        <f t="shared" ca="1" si="43"/>
        <v/>
      </c>
      <c r="AI40" s="1705" t="str">
        <f t="shared" ca="1" si="44"/>
        <v/>
      </c>
      <c r="AJ40" s="1709" t="str">
        <f t="shared" ca="1" si="45"/>
        <v/>
      </c>
      <c r="AK40" s="1747" t="str">
        <f t="shared" si="12"/>
        <v/>
      </c>
      <c r="AL40" s="1748" t="str">
        <f t="shared" si="46"/>
        <v/>
      </c>
      <c r="AM40" s="1749" t="str">
        <f t="shared" si="80"/>
        <v/>
      </c>
      <c r="AN40" s="1710" t="str">
        <f t="shared" si="80"/>
        <v/>
      </c>
      <c r="AO40" s="1750" t="str">
        <f t="shared" si="80"/>
        <v/>
      </c>
      <c r="AP40" s="1712" t="str">
        <f t="shared" si="3"/>
        <v/>
      </c>
      <c r="AQ40" s="1751" t="str">
        <f t="shared" si="3"/>
        <v/>
      </c>
      <c r="AR40" s="1708" t="str">
        <f t="shared" si="13"/>
        <v/>
      </c>
      <c r="AS40" s="1709" t="str">
        <f t="shared" si="14"/>
        <v/>
      </c>
      <c r="AT40" s="1752" t="str">
        <f t="shared" si="15"/>
        <v/>
      </c>
      <c r="AU40" s="1753" t="str">
        <f t="shared" si="4"/>
        <v/>
      </c>
      <c r="AV40" s="1714" t="str">
        <f t="shared" si="16"/>
        <v/>
      </c>
      <c r="AW40" s="1709" t="str">
        <f t="shared" si="17"/>
        <v/>
      </c>
      <c r="AX40" s="1752" t="str">
        <f t="shared" si="18"/>
        <v/>
      </c>
      <c r="AY40" s="1753" t="str">
        <f t="shared" si="5"/>
        <v/>
      </c>
      <c r="AZ40" s="1714" t="str">
        <f t="shared" si="19"/>
        <v/>
      </c>
      <c r="BA40" s="1709" t="str">
        <f t="shared" si="20"/>
        <v/>
      </c>
      <c r="BB40" s="1752" t="str">
        <f t="shared" si="21"/>
        <v/>
      </c>
      <c r="BC40" s="1753" t="str">
        <f t="shared" si="6"/>
        <v/>
      </c>
      <c r="BD40" s="1714" t="str">
        <f t="shared" si="22"/>
        <v/>
      </c>
      <c r="BE40" s="1709" t="str">
        <f t="shared" si="23"/>
        <v/>
      </c>
      <c r="BF40" s="1752" t="str">
        <f t="shared" si="24"/>
        <v/>
      </c>
      <c r="BG40" s="1753" t="str">
        <f t="shared" si="7"/>
        <v/>
      </c>
      <c r="BH40" s="261"/>
      <c r="BJ40" s="1301" t="str">
        <f t="shared" si="75"/>
        <v>G13</v>
      </c>
      <c r="BK40" s="993" t="b">
        <f t="shared" si="79"/>
        <v>0</v>
      </c>
      <c r="BL40" s="1800" t="b">
        <v>0</v>
      </c>
      <c r="BM40" s="989">
        <f t="shared" si="64"/>
        <v>48</v>
      </c>
      <c r="BN40" s="989" t="str">
        <f t="shared" si="65"/>
        <v>VG</v>
      </c>
      <c r="BO40" s="989">
        <f t="shared" si="66"/>
        <v>9</v>
      </c>
      <c r="BP40" s="989" t="str">
        <f t="shared" si="51"/>
        <v>13.8/8.2</v>
      </c>
      <c r="BQ40" s="989">
        <f t="shared" si="67"/>
        <v>0</v>
      </c>
      <c r="BR40" s="989" t="b">
        <f t="shared" si="68"/>
        <v>1</v>
      </c>
      <c r="BS40" s="1302">
        <f t="shared" si="69"/>
        <v>7.75</v>
      </c>
      <c r="BT40" s="990" t="str">
        <f t="shared" si="70"/>
        <v>Yes</v>
      </c>
      <c r="BU40" s="1302">
        <f t="shared" si="71"/>
        <v>7.75</v>
      </c>
      <c r="BV40" s="990" t="str">
        <f t="shared" si="72"/>
        <v>Yes</v>
      </c>
      <c r="BW40" s="991">
        <f t="shared" ca="1" si="25"/>
        <v>0</v>
      </c>
      <c r="BX40" s="991" t="str">
        <f t="shared" ca="1" si="32"/>
        <v/>
      </c>
      <c r="BY40" s="991" t="b">
        <f t="shared" ca="1" si="26"/>
        <v>0</v>
      </c>
      <c r="BZ40" s="1303" t="b">
        <f t="shared" si="33"/>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73"/>
        <v/>
      </c>
      <c r="EN40" s="1632" t="str">
        <f t="shared" si="52"/>
        <v/>
      </c>
      <c r="EO40" s="648" t="str">
        <f t="shared" si="53"/>
        <v/>
      </c>
      <c r="EP40" s="649" t="str">
        <f t="shared" si="54"/>
        <v/>
      </c>
      <c r="EQ40" s="813" t="str">
        <f t="shared" si="55"/>
        <v/>
      </c>
      <c r="ER40" s="1586" t="str">
        <f t="shared" si="56"/>
        <v/>
      </c>
      <c r="ES40" s="1587" t="str">
        <f t="shared" si="57"/>
        <v/>
      </c>
      <c r="ET40" s="1588" t="str">
        <f t="shared" si="58"/>
        <v/>
      </c>
      <c r="EU40" s="1589" t="str">
        <f t="shared" si="59"/>
        <v/>
      </c>
      <c r="EX40" s="503" t="str">
        <f t="shared" ca="1" si="27"/>
        <v/>
      </c>
      <c r="EY40" s="940" t="str">
        <f t="shared" si="8"/>
        <v/>
      </c>
      <c r="EZ40" s="940" t="str">
        <f t="shared" si="28"/>
        <v/>
      </c>
      <c r="FA40" s="958" t="str">
        <f t="shared" ca="1" si="34"/>
        <v/>
      </c>
      <c r="FB40" s="134" t="str">
        <f t="shared" ca="1" si="29"/>
        <v/>
      </c>
      <c r="FC40" s="134">
        <f t="shared" ca="1" si="9"/>
        <v>0</v>
      </c>
      <c r="FD40" s="134">
        <f t="shared" ca="1" si="10"/>
        <v>0</v>
      </c>
      <c r="FE40" s="134">
        <f t="shared" ca="1" si="11"/>
        <v>0</v>
      </c>
      <c r="FF40" s="134">
        <f t="shared" ca="1" si="30"/>
        <v>0</v>
      </c>
      <c r="FN40" s="993" t="b">
        <v>0</v>
      </c>
      <c r="FO40" s="754" t="b">
        <f t="shared" si="74"/>
        <v>1</v>
      </c>
      <c r="FP40" s="754" t="b">
        <v>0</v>
      </c>
      <c r="FQ40" s="754" t="b">
        <f t="shared" si="31"/>
        <v>1</v>
      </c>
      <c r="FX40" s="197"/>
      <c r="FZ40" s="2"/>
      <c r="GA40" s="1761">
        <v>56</v>
      </c>
      <c r="GB40" s="1762">
        <v>0</v>
      </c>
      <c r="GC40" s="1763">
        <v>-0.25</v>
      </c>
      <c r="GD40" s="1764">
        <v>-0.25</v>
      </c>
      <c r="GE40" s="1765">
        <f t="shared" si="60"/>
        <v>0</v>
      </c>
      <c r="GF40" s="582" t="str">
        <f t="shared" si="61"/>
        <v>G13</v>
      </c>
      <c r="GG40" s="692">
        <v>0</v>
      </c>
      <c r="GH40" s="1135">
        <v>0</v>
      </c>
      <c r="GI40" s="692"/>
      <c r="GJ40" s="1135"/>
      <c r="GK40" s="1640">
        <f t="shared" si="62"/>
        <v>671.5</v>
      </c>
      <c r="GL40" s="1640">
        <f t="shared" si="63"/>
        <v>671.5</v>
      </c>
      <c r="GM40" s="1641">
        <f>IF(ABS(GK40-GL40)&gt;='Job Info.'!$L$22,ABS(GK40-GL40),0)</f>
        <v>0</v>
      </c>
      <c r="HA40" s="1241" t="s">
        <v>1413</v>
      </c>
      <c r="HB40" s="1242">
        <v>5</v>
      </c>
      <c r="HC40" s="1242" t="s">
        <v>1586</v>
      </c>
      <c r="HD40" s="1243">
        <v>55</v>
      </c>
      <c r="HE40" s="1244">
        <v>11.5</v>
      </c>
      <c r="HF40" s="1242">
        <v>11.125</v>
      </c>
      <c r="HG40" s="1242">
        <v>0</v>
      </c>
      <c r="HH40" s="1242">
        <v>1.75</v>
      </c>
      <c r="HI40" s="1242" t="s">
        <v>113</v>
      </c>
      <c r="HJ40" s="1242">
        <v>0</v>
      </c>
      <c r="HK40" s="1242">
        <v>1.75</v>
      </c>
      <c r="HL40" s="1242" t="s">
        <v>113</v>
      </c>
      <c r="HM40" s="1242">
        <v>7.5</v>
      </c>
      <c r="HN40" s="1242">
        <v>7.5</v>
      </c>
      <c r="HO40" s="1242">
        <v>0</v>
      </c>
      <c r="HP40" s="1242">
        <v>6.75</v>
      </c>
      <c r="HQ40" s="1242">
        <v>0</v>
      </c>
      <c r="HR40" s="1242">
        <v>6.75</v>
      </c>
      <c r="HS40" s="1242">
        <v>0</v>
      </c>
      <c r="HT40" s="1242">
        <v>6.25</v>
      </c>
      <c r="HU40" s="1242">
        <v>0</v>
      </c>
      <c r="HV40" s="1242">
        <v>6.25</v>
      </c>
      <c r="HW40" s="1242">
        <v>5</v>
      </c>
      <c r="HX40" s="1242" t="s">
        <v>116</v>
      </c>
      <c r="HY40" s="1246" t="s">
        <v>116</v>
      </c>
      <c r="HZ40" s="1246" t="s">
        <v>1627</v>
      </c>
      <c r="IA40" s="1246" t="s">
        <v>116</v>
      </c>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35"/>
        <v>0</v>
      </c>
    </row>
    <row r="41" spans="1:272" ht="12.6" customHeight="1" x14ac:dyDescent="0.25">
      <c r="A41" s="1448" t="s">
        <v>1414</v>
      </c>
      <c r="B41" s="1681">
        <v>2</v>
      </c>
      <c r="C41" s="1449" t="s">
        <v>1780</v>
      </c>
      <c r="D41" s="1705">
        <v>55</v>
      </c>
      <c r="E41" s="1706">
        <v>10.875</v>
      </c>
      <c r="F41" s="1707">
        <v>11.125</v>
      </c>
      <c r="G41" s="1708">
        <v>0</v>
      </c>
      <c r="H41" s="1709">
        <v>1.75</v>
      </c>
      <c r="I41" s="1710" t="s">
        <v>113</v>
      </c>
      <c r="J41" s="1705" t="str">
        <f t="shared" si="76"/>
        <v/>
      </c>
      <c r="K41" s="1709" t="str">
        <f t="shared" si="77"/>
        <v/>
      </c>
      <c r="L41" s="1711" t="str">
        <f t="shared" si="78"/>
        <v/>
      </c>
      <c r="M41" s="1712">
        <v>7.5</v>
      </c>
      <c r="N41" s="1713">
        <v>10</v>
      </c>
      <c r="O41" s="1708">
        <v>0</v>
      </c>
      <c r="P41" s="1709">
        <v>6.75</v>
      </c>
      <c r="Q41" s="1705">
        <v>0</v>
      </c>
      <c r="R41" s="1706">
        <v>7.125</v>
      </c>
      <c r="S41" s="1714">
        <v>0</v>
      </c>
      <c r="T41" s="1709">
        <v>6.25</v>
      </c>
      <c r="U41" s="1705">
        <v>0</v>
      </c>
      <c r="V41" s="1709">
        <v>2.125</v>
      </c>
      <c r="W41" s="1713">
        <v>5</v>
      </c>
      <c r="X41" s="1715" t="str">
        <f t="shared" si="48"/>
        <v/>
      </c>
      <c r="Y41" s="1716" t="str">
        <f t="shared" si="49"/>
        <v/>
      </c>
      <c r="Z41" s="1717" t="s">
        <v>1791</v>
      </c>
      <c r="AA41" s="1718" t="str">
        <f t="shared" si="50"/>
        <v/>
      </c>
      <c r="AB41" s="1448" t="str">
        <f t="shared" si="37"/>
        <v/>
      </c>
      <c r="AC41" s="1710" t="str">
        <f t="shared" si="38"/>
        <v/>
      </c>
      <c r="AD41" s="1705" t="str">
        <f t="shared" ca="1" si="39"/>
        <v/>
      </c>
      <c r="AE41" s="1709" t="str">
        <f t="shared" ca="1" si="40"/>
        <v/>
      </c>
      <c r="AF41" s="1710" t="str">
        <f t="shared" ca="1" si="41"/>
        <v/>
      </c>
      <c r="AG41" s="1705" t="str">
        <f t="shared" ca="1" si="42"/>
        <v/>
      </c>
      <c r="AH41" s="1709" t="str">
        <f t="shared" ca="1" si="43"/>
        <v/>
      </c>
      <c r="AI41" s="1705" t="str">
        <f t="shared" ca="1" si="44"/>
        <v/>
      </c>
      <c r="AJ41" s="1709" t="str">
        <f t="shared" ca="1" si="45"/>
        <v/>
      </c>
      <c r="AK41" s="1747" t="str">
        <f t="shared" si="12"/>
        <v/>
      </c>
      <c r="AL41" s="1748" t="str">
        <f t="shared" si="46"/>
        <v/>
      </c>
      <c r="AM41" s="1749" t="str">
        <f t="shared" si="80"/>
        <v/>
      </c>
      <c r="AN41" s="1710" t="str">
        <f t="shared" si="80"/>
        <v/>
      </c>
      <c r="AO41" s="1750" t="str">
        <f t="shared" si="80"/>
        <v/>
      </c>
      <c r="AP41" s="1712" t="str">
        <f t="shared" si="3"/>
        <v/>
      </c>
      <c r="AQ41" s="1751" t="str">
        <f t="shared" si="3"/>
        <v/>
      </c>
      <c r="AR41" s="1708" t="str">
        <f t="shared" si="13"/>
        <v/>
      </c>
      <c r="AS41" s="1709" t="str">
        <f t="shared" si="14"/>
        <v/>
      </c>
      <c r="AT41" s="1752" t="str">
        <f t="shared" si="15"/>
        <v/>
      </c>
      <c r="AU41" s="1753" t="str">
        <f t="shared" si="4"/>
        <v/>
      </c>
      <c r="AV41" s="1714" t="str">
        <f t="shared" si="16"/>
        <v/>
      </c>
      <c r="AW41" s="1709" t="str">
        <f t="shared" si="17"/>
        <v/>
      </c>
      <c r="AX41" s="1752" t="str">
        <f t="shared" si="18"/>
        <v/>
      </c>
      <c r="AY41" s="1753" t="str">
        <f t="shared" si="5"/>
        <v/>
      </c>
      <c r="AZ41" s="1714" t="str">
        <f t="shared" si="19"/>
        <v/>
      </c>
      <c r="BA41" s="1709" t="str">
        <f t="shared" si="20"/>
        <v/>
      </c>
      <c r="BB41" s="1752" t="str">
        <f t="shared" si="21"/>
        <v/>
      </c>
      <c r="BC41" s="1753" t="str">
        <f t="shared" si="6"/>
        <v/>
      </c>
      <c r="BD41" s="1714" t="str">
        <f t="shared" si="22"/>
        <v/>
      </c>
      <c r="BE41" s="1709" t="str">
        <f t="shared" si="23"/>
        <v/>
      </c>
      <c r="BF41" s="1752" t="str">
        <f t="shared" si="24"/>
        <v/>
      </c>
      <c r="BG41" s="1753" t="str">
        <f t="shared" si="7"/>
        <v/>
      </c>
      <c r="BH41" s="261"/>
      <c r="BJ41" s="1301" t="str">
        <f t="shared" si="75"/>
        <v>G14</v>
      </c>
      <c r="BK41" s="993" t="b">
        <f t="shared" si="79"/>
        <v>0</v>
      </c>
      <c r="BL41" s="1800" t="b">
        <v>0</v>
      </c>
      <c r="BM41" s="989">
        <f t="shared" si="64"/>
        <v>48</v>
      </c>
      <c r="BN41" s="989" t="str">
        <f t="shared" si="65"/>
        <v>VG</v>
      </c>
      <c r="BO41" s="989">
        <f t="shared" si="66"/>
        <v>9</v>
      </c>
      <c r="BP41" s="989" t="str">
        <f t="shared" si="51"/>
        <v>13.8/8.2</v>
      </c>
      <c r="BQ41" s="989">
        <f t="shared" si="67"/>
        <v>0</v>
      </c>
      <c r="BR41" s="989" t="b">
        <f t="shared" si="68"/>
        <v>1</v>
      </c>
      <c r="BS41" s="1302">
        <f t="shared" si="69"/>
        <v>7.75</v>
      </c>
      <c r="BT41" s="990" t="str">
        <f t="shared" si="70"/>
        <v>Yes</v>
      </c>
      <c r="BU41" s="1302">
        <f t="shared" si="71"/>
        <v>6</v>
      </c>
      <c r="BV41" s="990" t="str">
        <f t="shared" si="72"/>
        <v>Yes</v>
      </c>
      <c r="BW41" s="991">
        <f t="shared" ca="1" si="25"/>
        <v>0</v>
      </c>
      <c r="BX41" s="991" t="str">
        <f t="shared" ca="1" si="32"/>
        <v/>
      </c>
      <c r="BY41" s="991" t="b">
        <f t="shared" ca="1" si="26"/>
        <v>0</v>
      </c>
      <c r="BZ41" s="1303" t="b">
        <f t="shared" si="33"/>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73"/>
        <v/>
      </c>
      <c r="EN41" s="1632" t="str">
        <f t="shared" si="52"/>
        <v/>
      </c>
      <c r="EO41" s="648" t="str">
        <f t="shared" si="53"/>
        <v/>
      </c>
      <c r="EP41" s="649" t="str">
        <f t="shared" si="54"/>
        <v/>
      </c>
      <c r="EQ41" s="813" t="str">
        <f t="shared" si="55"/>
        <v/>
      </c>
      <c r="ER41" s="1586" t="str">
        <f t="shared" si="56"/>
        <v/>
      </c>
      <c r="ES41" s="1587" t="str">
        <f t="shared" si="57"/>
        <v/>
      </c>
      <c r="ET41" s="1588" t="str">
        <f t="shared" si="58"/>
        <v/>
      </c>
      <c r="EU41" s="1589" t="str">
        <f t="shared" si="59"/>
        <v/>
      </c>
      <c r="EX41" s="503" t="str">
        <f t="shared" ca="1" si="27"/>
        <v/>
      </c>
      <c r="EY41" s="940" t="str">
        <f t="shared" si="8"/>
        <v/>
      </c>
      <c r="EZ41" s="940" t="str">
        <f t="shared" si="28"/>
        <v/>
      </c>
      <c r="FA41" s="958" t="str">
        <f t="shared" ca="1" si="34"/>
        <v/>
      </c>
      <c r="FB41" s="134" t="str">
        <f t="shared" ca="1" si="29"/>
        <v/>
      </c>
      <c r="FC41" s="134">
        <f t="shared" ca="1" si="9"/>
        <v>0</v>
      </c>
      <c r="FD41" s="134">
        <f t="shared" ca="1" si="10"/>
        <v>0</v>
      </c>
      <c r="FE41" s="134">
        <f t="shared" ca="1" si="11"/>
        <v>0</v>
      </c>
      <c r="FF41" s="134">
        <f t="shared" ca="1" si="30"/>
        <v>0</v>
      </c>
      <c r="FN41" s="993" t="b">
        <v>0</v>
      </c>
      <c r="FO41" s="754" t="b">
        <f t="shared" si="74"/>
        <v>1</v>
      </c>
      <c r="FP41" s="754" t="b">
        <v>0</v>
      </c>
      <c r="FQ41" s="754" t="b">
        <f t="shared" si="31"/>
        <v>1</v>
      </c>
      <c r="FX41" s="197"/>
      <c r="FZ41" s="2"/>
      <c r="GA41" s="1761">
        <v>56</v>
      </c>
      <c r="GB41" s="1762">
        <v>0</v>
      </c>
      <c r="GC41" s="1763">
        <v>-0.25</v>
      </c>
      <c r="GD41" s="1764">
        <v>-0.875</v>
      </c>
      <c r="GE41" s="1765">
        <f t="shared" si="60"/>
        <v>0</v>
      </c>
      <c r="GF41" s="582" t="str">
        <f t="shared" si="61"/>
        <v>G14</v>
      </c>
      <c r="GG41" s="692">
        <v>0</v>
      </c>
      <c r="GH41" s="1135">
        <v>0</v>
      </c>
      <c r="GI41" s="692"/>
      <c r="GJ41" s="1135"/>
      <c r="GK41" s="1640">
        <f t="shared" si="62"/>
        <v>670.875</v>
      </c>
      <c r="GL41" s="1640">
        <f t="shared" si="63"/>
        <v>670.875</v>
      </c>
      <c r="GM41" s="1641">
        <f>IF(ABS(GK41-GL41)&gt;='Job Info.'!$L$22,ABS(GK41-GL41),0)</f>
        <v>0</v>
      </c>
      <c r="HA41" s="1241" t="s">
        <v>1414</v>
      </c>
      <c r="HB41" s="1242">
        <v>2</v>
      </c>
      <c r="HC41" s="1242" t="s">
        <v>1586</v>
      </c>
      <c r="HD41" s="1243">
        <v>55</v>
      </c>
      <c r="HE41" s="1244">
        <v>10.875</v>
      </c>
      <c r="HF41" s="1242">
        <v>11.125</v>
      </c>
      <c r="HG41" s="1242">
        <v>0</v>
      </c>
      <c r="HH41" s="1242">
        <v>1.75</v>
      </c>
      <c r="HI41" s="1242" t="s">
        <v>113</v>
      </c>
      <c r="HJ41" s="1242" t="s">
        <v>116</v>
      </c>
      <c r="HK41" s="1242" t="s">
        <v>116</v>
      </c>
      <c r="HL41" s="1242" t="s">
        <v>116</v>
      </c>
      <c r="HM41" s="1242">
        <v>7.5</v>
      </c>
      <c r="HN41" s="1242">
        <v>10</v>
      </c>
      <c r="HO41" s="1242">
        <v>0</v>
      </c>
      <c r="HP41" s="1242">
        <v>6.75</v>
      </c>
      <c r="HQ41" s="1242">
        <v>0</v>
      </c>
      <c r="HR41" s="1242">
        <v>7.125</v>
      </c>
      <c r="HS41" s="1242">
        <v>0</v>
      </c>
      <c r="HT41" s="1242">
        <v>6.25</v>
      </c>
      <c r="HU41" s="1242">
        <v>0</v>
      </c>
      <c r="HV41" s="1242">
        <v>2.125</v>
      </c>
      <c r="HW41" s="1242">
        <v>5</v>
      </c>
      <c r="HX41" s="1242" t="s">
        <v>116</v>
      </c>
      <c r="HY41" s="1246" t="s">
        <v>116</v>
      </c>
      <c r="HZ41" s="1246" t="s">
        <v>1630</v>
      </c>
      <c r="IA41" s="1246" t="s">
        <v>116</v>
      </c>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35"/>
        <v>0</v>
      </c>
    </row>
    <row r="42" spans="1:272" ht="12.6" customHeight="1" x14ac:dyDescent="0.25">
      <c r="A42" s="1448" t="s">
        <v>1415</v>
      </c>
      <c r="B42" s="1681">
        <v>1</v>
      </c>
      <c r="C42" s="1449" t="s">
        <v>1780</v>
      </c>
      <c r="D42" s="1705">
        <v>55</v>
      </c>
      <c r="E42" s="1706">
        <v>8.375</v>
      </c>
      <c r="F42" s="1707">
        <v>11.125</v>
      </c>
      <c r="G42" s="1708">
        <v>0</v>
      </c>
      <c r="H42" s="1709">
        <v>1.75</v>
      </c>
      <c r="I42" s="1710" t="s">
        <v>113</v>
      </c>
      <c r="J42" s="1705">
        <v>0</v>
      </c>
      <c r="K42" s="1709">
        <v>5</v>
      </c>
      <c r="L42" s="1711" t="s">
        <v>158</v>
      </c>
      <c r="M42" s="1712">
        <v>7.5</v>
      </c>
      <c r="N42" s="1713">
        <v>10</v>
      </c>
      <c r="O42" s="1708">
        <v>0</v>
      </c>
      <c r="P42" s="1709">
        <v>6.75</v>
      </c>
      <c r="Q42" s="1705">
        <v>0</v>
      </c>
      <c r="R42" s="1706">
        <v>4.625</v>
      </c>
      <c r="S42" s="1714">
        <v>0</v>
      </c>
      <c r="T42" s="1709">
        <v>6.25</v>
      </c>
      <c r="U42" s="1705">
        <v>0</v>
      </c>
      <c r="V42" s="1709">
        <v>4.25</v>
      </c>
      <c r="W42" s="1713">
        <v>5</v>
      </c>
      <c r="X42" s="1715" t="str">
        <f t="shared" si="48"/>
        <v/>
      </c>
      <c r="Y42" s="1716" t="str">
        <f t="shared" si="49"/>
        <v/>
      </c>
      <c r="Z42" s="2665" t="s">
        <v>1792</v>
      </c>
      <c r="AA42" s="1718" t="str">
        <f t="shared" si="50"/>
        <v/>
      </c>
      <c r="AB42" s="1448" t="str">
        <f t="shared" si="37"/>
        <v/>
      </c>
      <c r="AC42" s="1710" t="str">
        <f t="shared" si="38"/>
        <v/>
      </c>
      <c r="AD42" s="1705" t="str">
        <f t="shared" ca="1" si="39"/>
        <v/>
      </c>
      <c r="AE42" s="1709" t="str">
        <f t="shared" ca="1" si="40"/>
        <v/>
      </c>
      <c r="AF42" s="1710" t="str">
        <f t="shared" ca="1" si="41"/>
        <v/>
      </c>
      <c r="AG42" s="1705" t="str">
        <f t="shared" ca="1" si="42"/>
        <v/>
      </c>
      <c r="AH42" s="1709" t="str">
        <f t="shared" ca="1" si="43"/>
        <v/>
      </c>
      <c r="AI42" s="1705" t="str">
        <f t="shared" ca="1" si="44"/>
        <v/>
      </c>
      <c r="AJ42" s="1709" t="str">
        <f t="shared" ca="1" si="45"/>
        <v/>
      </c>
      <c r="AK42" s="1747" t="str">
        <f t="shared" si="12"/>
        <v/>
      </c>
      <c r="AL42" s="1748" t="str">
        <f t="shared" si="46"/>
        <v/>
      </c>
      <c r="AM42" s="1749" t="str">
        <f t="shared" si="80"/>
        <v/>
      </c>
      <c r="AN42" s="1710" t="str">
        <f t="shared" si="80"/>
        <v/>
      </c>
      <c r="AO42" s="1750" t="str">
        <f t="shared" si="80"/>
        <v/>
      </c>
      <c r="AP42" s="1712" t="str">
        <f t="shared" si="3"/>
        <v/>
      </c>
      <c r="AQ42" s="1751" t="str">
        <f t="shared" si="3"/>
        <v/>
      </c>
      <c r="AR42" s="1708" t="str">
        <f t="shared" si="13"/>
        <v/>
      </c>
      <c r="AS42" s="1709" t="str">
        <f t="shared" si="14"/>
        <v/>
      </c>
      <c r="AT42" s="1752" t="str">
        <f t="shared" si="15"/>
        <v/>
      </c>
      <c r="AU42" s="1753" t="str">
        <f t="shared" si="4"/>
        <v/>
      </c>
      <c r="AV42" s="1714" t="str">
        <f t="shared" si="16"/>
        <v/>
      </c>
      <c r="AW42" s="1709" t="str">
        <f t="shared" si="17"/>
        <v/>
      </c>
      <c r="AX42" s="1752" t="str">
        <f t="shared" si="18"/>
        <v/>
      </c>
      <c r="AY42" s="1753" t="str">
        <f t="shared" si="5"/>
        <v/>
      </c>
      <c r="AZ42" s="1714" t="str">
        <f t="shared" si="19"/>
        <v/>
      </c>
      <c r="BA42" s="1709" t="str">
        <f t="shared" si="20"/>
        <v/>
      </c>
      <c r="BB42" s="1752" t="str">
        <f t="shared" si="21"/>
        <v/>
      </c>
      <c r="BC42" s="1753" t="str">
        <f t="shared" si="6"/>
        <v/>
      </c>
      <c r="BD42" s="1714" t="str">
        <f t="shared" si="22"/>
        <v/>
      </c>
      <c r="BE42" s="1709" t="str">
        <f t="shared" si="23"/>
        <v/>
      </c>
      <c r="BF42" s="1752" t="str">
        <f t="shared" si="24"/>
        <v/>
      </c>
      <c r="BG42" s="1753" t="str">
        <f t="shared" si="7"/>
        <v/>
      </c>
      <c r="BH42" s="261"/>
      <c r="BJ42" s="1301" t="str">
        <f t="shared" si="75"/>
        <v>G15</v>
      </c>
      <c r="BK42" s="993" t="b">
        <f t="shared" si="79"/>
        <v>0</v>
      </c>
      <c r="BL42" s="1800" t="b">
        <v>0</v>
      </c>
      <c r="BM42" s="989">
        <f t="shared" si="64"/>
        <v>48</v>
      </c>
      <c r="BN42" s="989" t="str">
        <f t="shared" si="65"/>
        <v>VG</v>
      </c>
      <c r="BO42" s="989">
        <f t="shared" si="66"/>
        <v>9</v>
      </c>
      <c r="BP42" s="989" t="str">
        <f t="shared" si="51"/>
        <v>13.8/8.2</v>
      </c>
      <c r="BQ42" s="989">
        <f t="shared" si="67"/>
        <v>0</v>
      </c>
      <c r="BR42" s="989" t="b">
        <f t="shared" si="68"/>
        <v>1</v>
      </c>
      <c r="BS42" s="1302">
        <f t="shared" si="69"/>
        <v>7.75</v>
      </c>
      <c r="BT42" s="990" t="str">
        <f t="shared" si="70"/>
        <v>Yes</v>
      </c>
      <c r="BU42" s="1302">
        <f t="shared" si="71"/>
        <v>6</v>
      </c>
      <c r="BV42" s="990" t="str">
        <f t="shared" si="72"/>
        <v>Yes</v>
      </c>
      <c r="BW42" s="991">
        <f t="shared" ca="1" si="25"/>
        <v>0</v>
      </c>
      <c r="BX42" s="991" t="str">
        <f t="shared" ca="1" si="32"/>
        <v/>
      </c>
      <c r="BY42" s="991" t="b">
        <f t="shared" ca="1" si="26"/>
        <v>0</v>
      </c>
      <c r="BZ42" s="1303" t="b">
        <f t="shared" si="33"/>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73"/>
        <v/>
      </c>
      <c r="EN42" s="1632" t="str">
        <f t="shared" si="52"/>
        <v/>
      </c>
      <c r="EO42" s="648" t="str">
        <f t="shared" si="53"/>
        <v/>
      </c>
      <c r="EP42" s="649" t="str">
        <f t="shared" si="54"/>
        <v/>
      </c>
      <c r="EQ42" s="813" t="str">
        <f t="shared" si="55"/>
        <v/>
      </c>
      <c r="ER42" s="1586" t="str">
        <f t="shared" si="56"/>
        <v/>
      </c>
      <c r="ES42" s="1587" t="str">
        <f t="shared" si="57"/>
        <v/>
      </c>
      <c r="ET42" s="1588" t="str">
        <f t="shared" si="58"/>
        <v/>
      </c>
      <c r="EU42" s="1589" t="str">
        <f t="shared" si="59"/>
        <v/>
      </c>
      <c r="EX42" s="503" t="str">
        <f t="shared" ca="1" si="27"/>
        <v/>
      </c>
      <c r="EY42" s="940" t="str">
        <f t="shared" si="8"/>
        <v/>
      </c>
      <c r="EZ42" s="940" t="str">
        <f t="shared" si="28"/>
        <v/>
      </c>
      <c r="FA42" s="958" t="str">
        <f t="shared" ca="1" si="34"/>
        <v/>
      </c>
      <c r="FB42" s="134" t="str">
        <f t="shared" ca="1" si="29"/>
        <v/>
      </c>
      <c r="FC42" s="134">
        <f t="shared" ca="1" si="9"/>
        <v>0</v>
      </c>
      <c r="FD42" s="134">
        <f t="shared" ca="1" si="10"/>
        <v>0</v>
      </c>
      <c r="FE42" s="134">
        <f t="shared" ca="1" si="11"/>
        <v>0</v>
      </c>
      <c r="FF42" s="134">
        <f t="shared" ca="1" si="30"/>
        <v>0</v>
      </c>
      <c r="FN42" s="993" t="b">
        <v>0</v>
      </c>
      <c r="FO42" s="754" t="b">
        <f t="shared" si="74"/>
        <v>1</v>
      </c>
      <c r="FP42" s="754" t="b">
        <v>0</v>
      </c>
      <c r="FQ42" s="754" t="b">
        <f t="shared" si="31"/>
        <v>1</v>
      </c>
      <c r="FX42" s="251"/>
      <c r="GA42" s="1761">
        <v>56</v>
      </c>
      <c r="GB42" s="1762">
        <v>0</v>
      </c>
      <c r="GC42" s="1763">
        <v>-0.25</v>
      </c>
      <c r="GD42" s="1764">
        <v>-3.375</v>
      </c>
      <c r="GE42" s="1765">
        <f t="shared" si="60"/>
        <v>0</v>
      </c>
      <c r="GF42" s="582" t="str">
        <f t="shared" si="61"/>
        <v>G15</v>
      </c>
      <c r="GG42" s="692">
        <v>0</v>
      </c>
      <c r="GH42" s="1135">
        <v>0</v>
      </c>
      <c r="GI42" s="692"/>
      <c r="GJ42" s="1135"/>
      <c r="GK42" s="1640">
        <f t="shared" si="62"/>
        <v>668.375</v>
      </c>
      <c r="GL42" s="1640">
        <f t="shared" si="63"/>
        <v>668.375</v>
      </c>
      <c r="GM42" s="1641">
        <f>IF(ABS(GK42-GL42)&gt;='Job Info.'!$L$22,ABS(GK42-GL42),0)</f>
        <v>0</v>
      </c>
      <c r="HA42" s="1241" t="s">
        <v>1415</v>
      </c>
      <c r="HB42" s="1242">
        <v>1</v>
      </c>
      <c r="HC42" s="1242" t="s">
        <v>1586</v>
      </c>
      <c r="HD42" s="1243">
        <v>55</v>
      </c>
      <c r="HE42" s="1244">
        <v>8.375</v>
      </c>
      <c r="HF42" s="1242">
        <v>11.125</v>
      </c>
      <c r="HG42" s="1242">
        <v>0</v>
      </c>
      <c r="HH42" s="1242">
        <v>1.75</v>
      </c>
      <c r="HI42" s="1242" t="s">
        <v>113</v>
      </c>
      <c r="HJ42" s="1242">
        <v>0</v>
      </c>
      <c r="HK42" s="1242">
        <v>5</v>
      </c>
      <c r="HL42" s="1242" t="s">
        <v>158</v>
      </c>
      <c r="HM42" s="1242">
        <v>7.5</v>
      </c>
      <c r="HN42" s="1242">
        <v>10</v>
      </c>
      <c r="HO42" s="1242">
        <v>0</v>
      </c>
      <c r="HP42" s="1242">
        <v>6.75</v>
      </c>
      <c r="HQ42" s="1242">
        <v>0</v>
      </c>
      <c r="HR42" s="1242">
        <v>4.625</v>
      </c>
      <c r="HS42" s="1242">
        <v>0</v>
      </c>
      <c r="HT42" s="1242">
        <v>6.25</v>
      </c>
      <c r="HU42" s="1242">
        <v>0</v>
      </c>
      <c r="HV42" s="1242">
        <v>4.25</v>
      </c>
      <c r="HW42" s="1242">
        <v>5</v>
      </c>
      <c r="HX42" s="1242" t="s">
        <v>116</v>
      </c>
      <c r="HY42" s="1246" t="s">
        <v>116</v>
      </c>
      <c r="HZ42" s="1246" t="s">
        <v>1629</v>
      </c>
      <c r="IA42" s="1246" t="s">
        <v>116</v>
      </c>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35"/>
        <v>0</v>
      </c>
    </row>
    <row r="43" spans="1:272" ht="12.6" customHeight="1" x14ac:dyDescent="0.25">
      <c r="A43" s="1448" t="s">
        <v>1416</v>
      </c>
      <c r="B43" s="1681">
        <v>1</v>
      </c>
      <c r="C43" s="1449" t="s">
        <v>1780</v>
      </c>
      <c r="D43" s="1705">
        <v>55</v>
      </c>
      <c r="E43" s="1706">
        <v>11.5</v>
      </c>
      <c r="F43" s="1707">
        <v>11.125</v>
      </c>
      <c r="G43" s="1708">
        <v>0</v>
      </c>
      <c r="H43" s="1709">
        <v>1.75</v>
      </c>
      <c r="I43" s="1710" t="s">
        <v>113</v>
      </c>
      <c r="J43" s="1705">
        <v>0</v>
      </c>
      <c r="K43" s="1709">
        <v>1.75</v>
      </c>
      <c r="L43" s="1711" t="s">
        <v>113</v>
      </c>
      <c r="M43" s="1712">
        <v>7.5</v>
      </c>
      <c r="N43" s="1713">
        <v>7.5</v>
      </c>
      <c r="O43" s="1708">
        <v>0</v>
      </c>
      <c r="P43" s="1709">
        <v>6.75</v>
      </c>
      <c r="Q43" s="1705">
        <v>0</v>
      </c>
      <c r="R43" s="1706">
        <v>6.75</v>
      </c>
      <c r="S43" s="1714">
        <v>0</v>
      </c>
      <c r="T43" s="1709">
        <v>6.25</v>
      </c>
      <c r="U43" s="1705">
        <v>0</v>
      </c>
      <c r="V43" s="1709">
        <v>6.25</v>
      </c>
      <c r="W43" s="1713">
        <v>5</v>
      </c>
      <c r="X43" s="1715" t="str">
        <f t="shared" si="48"/>
        <v/>
      </c>
      <c r="Y43" s="1716" t="str">
        <f t="shared" si="49"/>
        <v/>
      </c>
      <c r="Z43" s="1717" t="s">
        <v>116</v>
      </c>
      <c r="AA43" s="1718" t="str">
        <f t="shared" si="50"/>
        <v/>
      </c>
      <c r="AB43" s="1448" t="str">
        <f t="shared" si="37"/>
        <v/>
      </c>
      <c r="AC43" s="1710" t="str">
        <f t="shared" si="38"/>
        <v/>
      </c>
      <c r="AD43" s="1705" t="str">
        <f t="shared" ca="1" si="39"/>
        <v/>
      </c>
      <c r="AE43" s="1709" t="str">
        <f t="shared" ca="1" si="40"/>
        <v/>
      </c>
      <c r="AF43" s="1710" t="str">
        <f t="shared" ca="1" si="41"/>
        <v/>
      </c>
      <c r="AG43" s="1705" t="str">
        <f t="shared" ca="1" si="42"/>
        <v/>
      </c>
      <c r="AH43" s="1709" t="str">
        <f t="shared" ca="1" si="43"/>
        <v/>
      </c>
      <c r="AI43" s="1705" t="str">
        <f t="shared" ca="1" si="44"/>
        <v/>
      </c>
      <c r="AJ43" s="1709" t="str">
        <f t="shared" ca="1" si="45"/>
        <v/>
      </c>
      <c r="AK43" s="1747" t="str">
        <f t="shared" si="12"/>
        <v/>
      </c>
      <c r="AL43" s="1748" t="str">
        <f t="shared" si="46"/>
        <v/>
      </c>
      <c r="AM43" s="1749" t="str">
        <f t="shared" si="80"/>
        <v/>
      </c>
      <c r="AN43" s="1710" t="str">
        <f t="shared" si="80"/>
        <v/>
      </c>
      <c r="AO43" s="1750" t="str">
        <f t="shared" si="80"/>
        <v/>
      </c>
      <c r="AP43" s="1712" t="str">
        <f t="shared" si="3"/>
        <v/>
      </c>
      <c r="AQ43" s="1751" t="str">
        <f t="shared" si="3"/>
        <v/>
      </c>
      <c r="AR43" s="1708" t="str">
        <f t="shared" si="13"/>
        <v/>
      </c>
      <c r="AS43" s="1709" t="str">
        <f t="shared" si="14"/>
        <v/>
      </c>
      <c r="AT43" s="1752" t="str">
        <f t="shared" si="15"/>
        <v/>
      </c>
      <c r="AU43" s="1753" t="str">
        <f t="shared" si="4"/>
        <v/>
      </c>
      <c r="AV43" s="1714" t="str">
        <f t="shared" si="16"/>
        <v/>
      </c>
      <c r="AW43" s="1709" t="str">
        <f t="shared" si="17"/>
        <v/>
      </c>
      <c r="AX43" s="1752" t="str">
        <f t="shared" si="18"/>
        <v/>
      </c>
      <c r="AY43" s="1753" t="str">
        <f t="shared" si="5"/>
        <v/>
      </c>
      <c r="AZ43" s="1714" t="str">
        <f t="shared" si="19"/>
        <v/>
      </c>
      <c r="BA43" s="1709" t="str">
        <f t="shared" si="20"/>
        <v/>
      </c>
      <c r="BB43" s="1752" t="str">
        <f t="shared" si="21"/>
        <v/>
      </c>
      <c r="BC43" s="1753" t="str">
        <f t="shared" si="6"/>
        <v/>
      </c>
      <c r="BD43" s="1714" t="str">
        <f t="shared" si="22"/>
        <v/>
      </c>
      <c r="BE43" s="1709" t="str">
        <f t="shared" si="23"/>
        <v/>
      </c>
      <c r="BF43" s="1752" t="str">
        <f t="shared" si="24"/>
        <v/>
      </c>
      <c r="BG43" s="1753" t="str">
        <f t="shared" si="7"/>
        <v/>
      </c>
      <c r="BH43" s="261"/>
      <c r="BJ43" s="1301" t="str">
        <f t="shared" si="75"/>
        <v>G16</v>
      </c>
      <c r="BK43" s="993" t="b">
        <f t="shared" si="79"/>
        <v>0</v>
      </c>
      <c r="BL43" s="1800" t="b">
        <v>0</v>
      </c>
      <c r="BM43" s="989">
        <f t="shared" si="64"/>
        <v>48</v>
      </c>
      <c r="BN43" s="989" t="str">
        <f t="shared" si="65"/>
        <v>VG</v>
      </c>
      <c r="BO43" s="989">
        <f t="shared" si="66"/>
        <v>9</v>
      </c>
      <c r="BP43" s="989" t="str">
        <f t="shared" si="51"/>
        <v>13.8/8.2</v>
      </c>
      <c r="BQ43" s="989">
        <f t="shared" si="67"/>
        <v>0</v>
      </c>
      <c r="BR43" s="989" t="b">
        <f t="shared" si="68"/>
        <v>1</v>
      </c>
      <c r="BS43" s="1302">
        <f t="shared" si="69"/>
        <v>7.75</v>
      </c>
      <c r="BT43" s="990" t="str">
        <f t="shared" si="70"/>
        <v>Yes</v>
      </c>
      <c r="BU43" s="1302">
        <f t="shared" si="71"/>
        <v>7.75</v>
      </c>
      <c r="BV43" s="990" t="str">
        <f t="shared" si="72"/>
        <v>Yes</v>
      </c>
      <c r="BW43" s="991">
        <f t="shared" ca="1" si="25"/>
        <v>0</v>
      </c>
      <c r="BX43" s="991" t="str">
        <f t="shared" ca="1" si="32"/>
        <v/>
      </c>
      <c r="BY43" s="991" t="b">
        <f t="shared" ca="1" si="26"/>
        <v>0</v>
      </c>
      <c r="BZ43" s="1303" t="b">
        <f t="shared" si="33"/>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73"/>
        <v/>
      </c>
      <c r="EN43" s="1632" t="str">
        <f t="shared" si="52"/>
        <v/>
      </c>
      <c r="EO43" s="648" t="str">
        <f t="shared" si="53"/>
        <v/>
      </c>
      <c r="EP43" s="649" t="str">
        <f t="shared" si="54"/>
        <v/>
      </c>
      <c r="EQ43" s="813" t="str">
        <f t="shared" si="55"/>
        <v/>
      </c>
      <c r="ER43" s="1586" t="str">
        <f t="shared" si="56"/>
        <v/>
      </c>
      <c r="ES43" s="1587" t="str">
        <f t="shared" si="57"/>
        <v/>
      </c>
      <c r="ET43" s="1588" t="str">
        <f t="shared" si="58"/>
        <v/>
      </c>
      <c r="EU43" s="1589" t="str">
        <f t="shared" si="59"/>
        <v/>
      </c>
      <c r="EX43" s="503" t="str">
        <f t="shared" ca="1" si="27"/>
        <v/>
      </c>
      <c r="EY43" s="940" t="str">
        <f t="shared" si="8"/>
        <v/>
      </c>
      <c r="EZ43" s="940" t="str">
        <f t="shared" si="28"/>
        <v/>
      </c>
      <c r="FA43" s="958" t="str">
        <f t="shared" ca="1" si="34"/>
        <v/>
      </c>
      <c r="FB43" s="134" t="str">
        <f t="shared" ca="1" si="29"/>
        <v/>
      </c>
      <c r="FC43" s="134">
        <f t="shared" ca="1" si="9"/>
        <v>0</v>
      </c>
      <c r="FD43" s="134">
        <f t="shared" ca="1" si="10"/>
        <v>0</v>
      </c>
      <c r="FE43" s="134">
        <f t="shared" ca="1" si="11"/>
        <v>0</v>
      </c>
      <c r="FF43" s="134">
        <f t="shared" ca="1" si="30"/>
        <v>0</v>
      </c>
      <c r="FN43" s="993" t="b">
        <v>0</v>
      </c>
      <c r="FO43" s="754" t="b">
        <f t="shared" si="74"/>
        <v>1</v>
      </c>
      <c r="FP43" s="754" t="b">
        <v>0</v>
      </c>
      <c r="FQ43" s="754" t="b">
        <f t="shared" si="31"/>
        <v>1</v>
      </c>
      <c r="FX43" s="251"/>
      <c r="GA43" s="1761">
        <v>56</v>
      </c>
      <c r="GB43" s="1762">
        <v>0</v>
      </c>
      <c r="GC43" s="1763">
        <v>-0.25</v>
      </c>
      <c r="GD43" s="1764">
        <v>-0.25</v>
      </c>
      <c r="GE43" s="1765">
        <f t="shared" si="60"/>
        <v>0</v>
      </c>
      <c r="GF43" s="582" t="str">
        <f t="shared" si="61"/>
        <v>G16</v>
      </c>
      <c r="GG43" s="692">
        <v>0</v>
      </c>
      <c r="GH43" s="1135">
        <v>0</v>
      </c>
      <c r="GI43" s="692"/>
      <c r="GJ43" s="1135"/>
      <c r="GK43" s="1640">
        <f t="shared" si="62"/>
        <v>671.5</v>
      </c>
      <c r="GL43" s="1640">
        <f t="shared" si="63"/>
        <v>671.5</v>
      </c>
      <c r="GM43" s="1641">
        <f>IF(ABS(GK43-GL43)&gt;='Job Info.'!$L$22,ABS(GK43-GL43),0)</f>
        <v>0</v>
      </c>
      <c r="HA43" s="1241" t="s">
        <v>1416</v>
      </c>
      <c r="HB43" s="1242">
        <v>1</v>
      </c>
      <c r="HC43" s="1242" t="s">
        <v>1586</v>
      </c>
      <c r="HD43" s="1243">
        <v>55</v>
      </c>
      <c r="HE43" s="1244">
        <v>11.5</v>
      </c>
      <c r="HF43" s="1242">
        <v>11.125</v>
      </c>
      <c r="HG43" s="1242">
        <v>0</v>
      </c>
      <c r="HH43" s="1242">
        <v>1.75</v>
      </c>
      <c r="HI43" s="1242" t="s">
        <v>113</v>
      </c>
      <c r="HJ43" s="1242">
        <v>0</v>
      </c>
      <c r="HK43" s="1242">
        <v>1.75</v>
      </c>
      <c r="HL43" s="1242" t="s">
        <v>113</v>
      </c>
      <c r="HM43" s="1242">
        <v>7.5</v>
      </c>
      <c r="HN43" s="1242">
        <v>7.5</v>
      </c>
      <c r="HO43" s="1242">
        <v>0</v>
      </c>
      <c r="HP43" s="1242">
        <v>6.75</v>
      </c>
      <c r="HQ43" s="1242">
        <v>0</v>
      </c>
      <c r="HR43" s="1242">
        <v>6.75</v>
      </c>
      <c r="HS43" s="1242">
        <v>0</v>
      </c>
      <c r="HT43" s="1242">
        <v>6.25</v>
      </c>
      <c r="HU43" s="1242">
        <v>0</v>
      </c>
      <c r="HV43" s="1242">
        <v>6.25</v>
      </c>
      <c r="HW43" s="1242">
        <v>5</v>
      </c>
      <c r="HX43" s="1242" t="s">
        <v>116</v>
      </c>
      <c r="HY43" s="1246" t="s">
        <v>116</v>
      </c>
      <c r="HZ43" s="1246" t="s">
        <v>116</v>
      </c>
      <c r="IA43" s="1246" t="s">
        <v>116</v>
      </c>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35"/>
        <v>0</v>
      </c>
    </row>
    <row r="44" spans="1:272" ht="12.6" customHeight="1" x14ac:dyDescent="0.25">
      <c r="A44" s="1448" t="str">
        <f t="shared" ref="A44:C45" si="81">IF(ISBLANK(CB44),"",CB44)</f>
        <v/>
      </c>
      <c r="B44" s="1681"/>
      <c r="C44" s="1449"/>
      <c r="D44" s="1705" t="str">
        <f t="shared" ref="D44" si="82">IF(CV84="","",TRUNC(CV84/12))</f>
        <v/>
      </c>
      <c r="E44" s="1706" t="str">
        <f t="shared" ref="E44" si="83">IF(CV84="","",CV84-(D44*12))</f>
        <v/>
      </c>
      <c r="F44" s="1707" t="str">
        <f t="shared" ref="F44:F45" si="84">IF(ISBLANK(DE44),"",DE44)</f>
        <v/>
      </c>
      <c r="G44" s="1708" t="str">
        <f t="shared" ref="G44" si="85">IF(DD84=0,"",TRUNC(DD84/12))</f>
        <v/>
      </c>
      <c r="H44" s="1709" t="str">
        <f t="shared" ref="H44" si="86">IF(DD84=0,"",DD84-(G44*12))</f>
        <v/>
      </c>
      <c r="I44" s="1710" t="str">
        <f t="shared" ref="I44" si="87">IF(DD84=0,"",CE84)</f>
        <v/>
      </c>
      <c r="J44" s="1705" t="str">
        <f t="shared" si="76"/>
        <v/>
      </c>
      <c r="K44" s="1709" t="str">
        <f t="shared" si="77"/>
        <v/>
      </c>
      <c r="L44" s="1711" t="str">
        <f t="shared" si="78"/>
        <v/>
      </c>
      <c r="M44" s="1712" t="str">
        <f t="shared" ref="M44:N45" si="88">IF(CW84="","",CW84)</f>
        <v/>
      </c>
      <c r="N44" s="1713" t="str">
        <f t="shared" si="88"/>
        <v/>
      </c>
      <c r="O44" s="1708" t="str">
        <f t="shared" ref="O44" si="89">IF(DZ84="","",IF(AND(DZ84&gt;-12,DZ84&lt;0),-0.000001,TRUNC(DZ84/12)))</f>
        <v/>
      </c>
      <c r="P44" s="1709" t="str">
        <f t="shared" ref="P44" si="90">IF(DZ84="","",IF(AND(DZ84&lt;0,DZ84-(O44*12)=0),-0.00001,DZ84-(O44*12)))</f>
        <v/>
      </c>
      <c r="Q44" s="1705" t="str">
        <f t="shared" ref="Q44" si="91">IF(EA84="","",IF(AND(EA84&gt;-12,EA84&lt;0),-0.000001,TRUNC(EA84/12)))</f>
        <v/>
      </c>
      <c r="R44" s="1706" t="str">
        <f t="shared" ref="R44" si="92">IF(EA84="","",IF(AND(EA84&lt;0,EA84-(Q44*12)=0),-0.00001,EA84-(Q44*12)))</f>
        <v/>
      </c>
      <c r="S44" s="1714" t="str">
        <f t="shared" ref="S44" si="93">IF(DR84="","",IF(DR84="ERR",TRUNC(DQ84/12),TRUNC(DR84/12)))</f>
        <v/>
      </c>
      <c r="T44" s="1709" t="str">
        <f t="shared" ref="T44" si="94">IF(DR84="","",IF(DR84="ERR",DQ84-(S44*12),DR84-(S44*12)))</f>
        <v/>
      </c>
      <c r="U44" s="1705" t="str">
        <f t="shared" ref="U44" si="95">IF(DY84="","",IF(DY84="ERR",TRUNC(DX84/12),TRUNC(DY84/12)))</f>
        <v/>
      </c>
      <c r="V44" s="1709" t="str">
        <f t="shared" ref="V44" si="96">IF(DY84="","",IF(DY84="ERR",DX84-(U44*12),DY84-(U44*12)))</f>
        <v/>
      </c>
      <c r="W44" s="1713">
        <f t="shared" ref="W44" si="97">IF(EC84="",0,EC84)</f>
        <v>0</v>
      </c>
      <c r="X44" s="1715" t="str">
        <f t="shared" si="48"/>
        <v/>
      </c>
      <c r="Y44" s="1716" t="str">
        <f t="shared" si="49"/>
        <v/>
      </c>
      <c r="Z44" s="1717" t="s">
        <v>116</v>
      </c>
      <c r="AA44" s="1718" t="str">
        <f t="shared" si="50"/>
        <v/>
      </c>
      <c r="AB44" s="1448" t="str">
        <f t="shared" si="37"/>
        <v/>
      </c>
      <c r="AC44" s="1710" t="str">
        <f t="shared" si="38"/>
        <v/>
      </c>
      <c r="AD44" s="1705" t="str">
        <f t="shared" ca="1" si="39"/>
        <v/>
      </c>
      <c r="AE44" s="1709" t="str">
        <f t="shared" ca="1" si="40"/>
        <v/>
      </c>
      <c r="AF44" s="1710" t="str">
        <f t="shared" ca="1" si="41"/>
        <v/>
      </c>
      <c r="AG44" s="1705" t="str">
        <f t="shared" ca="1" si="42"/>
        <v/>
      </c>
      <c r="AH44" s="1709" t="str">
        <f t="shared" ca="1" si="43"/>
        <v/>
      </c>
      <c r="AI44" s="1705" t="str">
        <f t="shared" ca="1" si="44"/>
        <v/>
      </c>
      <c r="AJ44" s="1709" t="str">
        <f t="shared" ca="1" si="45"/>
        <v/>
      </c>
      <c r="AK44" s="1747" t="str">
        <f t="shared" si="12"/>
        <v/>
      </c>
      <c r="AL44" s="1748" t="str">
        <f t="shared" si="46"/>
        <v/>
      </c>
      <c r="AM44" s="1749" t="str">
        <f t="shared" si="80"/>
        <v/>
      </c>
      <c r="AN44" s="1710" t="str">
        <f t="shared" si="80"/>
        <v/>
      </c>
      <c r="AO44" s="1750" t="str">
        <f t="shared" si="80"/>
        <v/>
      </c>
      <c r="AP44" s="1712" t="str">
        <f t="shared" si="3"/>
        <v/>
      </c>
      <c r="AQ44" s="1751" t="str">
        <f t="shared" si="3"/>
        <v/>
      </c>
      <c r="AR44" s="1708" t="str">
        <f t="shared" si="13"/>
        <v/>
      </c>
      <c r="AS44" s="1709" t="str">
        <f t="shared" si="14"/>
        <v/>
      </c>
      <c r="AT44" s="1752" t="str">
        <f t="shared" si="15"/>
        <v/>
      </c>
      <c r="AU44" s="1753" t="str">
        <f t="shared" si="4"/>
        <v/>
      </c>
      <c r="AV44" s="1714" t="str">
        <f t="shared" si="16"/>
        <v/>
      </c>
      <c r="AW44" s="1709" t="str">
        <f t="shared" si="17"/>
        <v/>
      </c>
      <c r="AX44" s="1752" t="str">
        <f t="shared" si="18"/>
        <v/>
      </c>
      <c r="AY44" s="1753" t="str">
        <f t="shared" si="5"/>
        <v/>
      </c>
      <c r="AZ44" s="1714" t="str">
        <f t="shared" si="19"/>
        <v/>
      </c>
      <c r="BA44" s="1709" t="str">
        <f t="shared" si="20"/>
        <v/>
      </c>
      <c r="BB44" s="1752" t="str">
        <f t="shared" si="21"/>
        <v/>
      </c>
      <c r="BC44" s="1753" t="str">
        <f t="shared" si="6"/>
        <v/>
      </c>
      <c r="BD44" s="1714" t="str">
        <f t="shared" si="22"/>
        <v/>
      </c>
      <c r="BE44" s="1709" t="str">
        <f t="shared" si="23"/>
        <v/>
      </c>
      <c r="BF44" s="1752" t="str">
        <f t="shared" si="24"/>
        <v/>
      </c>
      <c r="BG44" s="1753" t="str">
        <f t="shared" si="7"/>
        <v/>
      </c>
      <c r="BH44" s="261"/>
      <c r="BJ44" s="1301" t="str">
        <f t="shared" si="75"/>
        <v/>
      </c>
      <c r="BK44" s="993" t="b">
        <f t="shared" si="79"/>
        <v>0</v>
      </c>
      <c r="BL44" s="1800" t="b">
        <v>0</v>
      </c>
      <c r="BM44" s="989">
        <f t="shared" si="64"/>
        <v>0</v>
      </c>
      <c r="BN44" s="989">
        <f t="shared" si="65"/>
        <v>0</v>
      </c>
      <c r="BO44" s="989">
        <f t="shared" si="66"/>
        <v>0</v>
      </c>
      <c r="BP44" s="989">
        <f t="shared" si="51"/>
        <v>0</v>
      </c>
      <c r="BQ44" s="989">
        <f t="shared" si="67"/>
        <v>0</v>
      </c>
      <c r="BR44" s="989" t="b">
        <f t="shared" si="68"/>
        <v>1</v>
      </c>
      <c r="BS44" s="1302">
        <f t="shared" si="69"/>
        <v>6</v>
      </c>
      <c r="BT44" s="990" t="str">
        <f t="shared" si="70"/>
        <v>No</v>
      </c>
      <c r="BU44" s="1302">
        <f t="shared" si="71"/>
        <v>6</v>
      </c>
      <c r="BV44" s="990" t="str">
        <f t="shared" si="72"/>
        <v>No</v>
      </c>
      <c r="BW44" s="991">
        <f t="shared" ca="1" si="25"/>
        <v>0</v>
      </c>
      <c r="BX44" s="991" t="str">
        <f t="shared" ca="1" si="32"/>
        <v/>
      </c>
      <c r="BY44" s="991" t="b">
        <f t="shared" ca="1" si="26"/>
        <v>0</v>
      </c>
      <c r="BZ44" s="1303" t="b">
        <f t="shared" si="33"/>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73"/>
        <v/>
      </c>
      <c r="EN44" s="1632" t="str">
        <f t="shared" si="52"/>
        <v/>
      </c>
      <c r="EO44" s="648" t="str">
        <f t="shared" si="53"/>
        <v/>
      </c>
      <c r="EP44" s="649" t="str">
        <f t="shared" si="54"/>
        <v/>
      </c>
      <c r="EQ44" s="813" t="str">
        <f t="shared" si="55"/>
        <v/>
      </c>
      <c r="ER44" s="1586" t="str">
        <f t="shared" si="56"/>
        <v/>
      </c>
      <c r="ES44" s="1587" t="str">
        <f t="shared" si="57"/>
        <v/>
      </c>
      <c r="ET44" s="1588" t="str">
        <f t="shared" si="58"/>
        <v/>
      </c>
      <c r="EU44" s="1589" t="str">
        <f t="shared" si="59"/>
        <v/>
      </c>
      <c r="EX44" s="503" t="str">
        <f t="shared" ca="1" si="27"/>
        <v/>
      </c>
      <c r="EY44" s="940" t="str">
        <f t="shared" si="8"/>
        <v/>
      </c>
      <c r="EZ44" s="940" t="str">
        <f t="shared" si="28"/>
        <v/>
      </c>
      <c r="FA44" s="958" t="str">
        <f t="shared" ca="1" si="34"/>
        <v/>
      </c>
      <c r="FB44" s="134" t="str">
        <f t="shared" ca="1" si="29"/>
        <v/>
      </c>
      <c r="FC44" s="134">
        <f t="shared" ca="1" si="9"/>
        <v>0</v>
      </c>
      <c r="FD44" s="134">
        <f t="shared" ca="1" si="10"/>
        <v>0</v>
      </c>
      <c r="FE44" s="134">
        <f t="shared" ca="1" si="11"/>
        <v>0</v>
      </c>
      <c r="FF44" s="134">
        <f t="shared" ca="1" si="30"/>
        <v>0</v>
      </c>
      <c r="FN44" s="993" t="b">
        <v>0</v>
      </c>
      <c r="FO44" s="754" t="b">
        <f t="shared" si="74"/>
        <v>1</v>
      </c>
      <c r="FP44" s="754" t="b">
        <v>0</v>
      </c>
      <c r="FQ44" s="754" t="b">
        <f t="shared" si="31"/>
        <v>1</v>
      </c>
      <c r="FX44" s="251"/>
      <c r="GA44" s="1761" t="str">
        <f t="shared" ref="GA44:GA45" si="98">IF(GF44="","",CE44)</f>
        <v/>
      </c>
      <c r="GB44" s="1762" t="str">
        <f t="shared" ref="GB44:GB45" si="99">IF(GF44="","",CF44)</f>
        <v/>
      </c>
      <c r="GC44" s="1763" t="str">
        <f t="shared" ref="GC44:GC45" si="100">IF(GF44="","",IF(CD84="",0,CD84))</f>
        <v/>
      </c>
      <c r="GD44" s="1764" t="str">
        <f t="shared" ref="GD44:GD45" si="101">IF(GF44="","",IF(CM84="",0,CM84))</f>
        <v/>
      </c>
      <c r="GE44" s="1765" t="str">
        <f t="shared" si="60"/>
        <v/>
      </c>
      <c r="GF44" s="582" t="str">
        <f t="shared" si="61"/>
        <v/>
      </c>
      <c r="GG44" s="692"/>
      <c r="GH44" s="1135"/>
      <c r="GI44" s="692"/>
      <c r="GJ44" s="1135"/>
      <c r="GK44" s="1640">
        <f t="shared" si="62"/>
        <v>0</v>
      </c>
      <c r="GL44" s="1640" t="e">
        <f t="shared" si="63"/>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35"/>
        <v>0</v>
      </c>
    </row>
    <row r="45" spans="1:272" ht="12.6" customHeight="1" thickBot="1" x14ac:dyDescent="0.35">
      <c r="A45" s="1460" t="str">
        <f t="shared" si="81"/>
        <v/>
      </c>
      <c r="B45" s="1682"/>
      <c r="C45" s="1461"/>
      <c r="D45" s="1719" t="str">
        <f>IF(CV85="","",TRUNC(CV85/12))</f>
        <v/>
      </c>
      <c r="E45" s="1720" t="str">
        <f>IF(CV85="","",CV85-(D45*12))</f>
        <v/>
      </c>
      <c r="F45" s="1721" t="str">
        <f t="shared" si="84"/>
        <v/>
      </c>
      <c r="G45" s="1722" t="str">
        <f>IF(DD85=0,"",TRUNC(DD85/12))</f>
        <v/>
      </c>
      <c r="H45" s="1723" t="str">
        <f>IF(DD85=0,"",DD85-(G45*12))</f>
        <v/>
      </c>
      <c r="I45" s="1724" t="str">
        <f>IF(DD85=0,"",CE85)</f>
        <v/>
      </c>
      <c r="J45" s="1719" t="str">
        <f>IF(DJ85=0,"",TRUNC(DJ85/12))</f>
        <v/>
      </c>
      <c r="K45" s="1723" t="str">
        <f>IF(DJ85=0,"",DJ85-(J45*12))</f>
        <v/>
      </c>
      <c r="L45" s="1725" t="str">
        <f>IF(DJ85=0,"",CN85)</f>
        <v/>
      </c>
      <c r="M45" s="1726" t="str">
        <f t="shared" si="88"/>
        <v/>
      </c>
      <c r="N45" s="1727" t="str">
        <f t="shared" si="88"/>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
        <v>116</v>
      </c>
      <c r="AA45" s="1732" t="str">
        <f t="shared" si="50"/>
        <v/>
      </c>
      <c r="AB45" s="1460" t="str">
        <f t="shared" si="37"/>
        <v/>
      </c>
      <c r="AC45" s="1724" t="str">
        <f t="shared" si="38"/>
        <v/>
      </c>
      <c r="AD45" s="1719" t="str">
        <f t="shared" ca="1" si="39"/>
        <v/>
      </c>
      <c r="AE45" s="1723" t="str">
        <f t="shared" ca="1" si="40"/>
        <v/>
      </c>
      <c r="AF45" s="1724" t="str">
        <f t="shared" ca="1" si="41"/>
        <v/>
      </c>
      <c r="AG45" s="1719" t="str">
        <f t="shared" ca="1" si="42"/>
        <v/>
      </c>
      <c r="AH45" s="1723" t="str">
        <f t="shared" ca="1" si="43"/>
        <v/>
      </c>
      <c r="AI45" s="1719" t="str">
        <f t="shared" ca="1" si="44"/>
        <v/>
      </c>
      <c r="AJ45" s="1723" t="str">
        <f t="shared" ca="1" si="45"/>
        <v/>
      </c>
      <c r="AK45" s="1754" t="str">
        <f t="shared" si="12"/>
        <v/>
      </c>
      <c r="AL45" s="1755" t="str">
        <f t="shared" si="46"/>
        <v/>
      </c>
      <c r="AM45" s="1756" t="str">
        <f t="shared" si="80"/>
        <v/>
      </c>
      <c r="AN45" s="1724" t="str">
        <f t="shared" si="80"/>
        <v/>
      </c>
      <c r="AO45" s="1757" t="str">
        <f t="shared" si="80"/>
        <v/>
      </c>
      <c r="AP45" s="1726" t="str">
        <f t="shared" si="3"/>
        <v/>
      </c>
      <c r="AQ45" s="1758" t="str">
        <f t="shared" si="3"/>
        <v/>
      </c>
      <c r="AR45" s="1722" t="str">
        <f t="shared" si="13"/>
        <v/>
      </c>
      <c r="AS45" s="1723" t="str">
        <f t="shared" si="14"/>
        <v/>
      </c>
      <c r="AT45" s="1759" t="str">
        <f t="shared" si="15"/>
        <v/>
      </c>
      <c r="AU45" s="1760" t="str">
        <f t="shared" si="4"/>
        <v/>
      </c>
      <c r="AV45" s="1728" t="str">
        <f t="shared" si="16"/>
        <v/>
      </c>
      <c r="AW45" s="1723" t="str">
        <f t="shared" si="17"/>
        <v/>
      </c>
      <c r="AX45" s="1759" t="str">
        <f t="shared" si="18"/>
        <v/>
      </c>
      <c r="AY45" s="1760" t="str">
        <f t="shared" si="5"/>
        <v/>
      </c>
      <c r="AZ45" s="1728" t="str">
        <f t="shared" si="19"/>
        <v/>
      </c>
      <c r="BA45" s="1723" t="str">
        <f t="shared" si="20"/>
        <v/>
      </c>
      <c r="BB45" s="1759" t="str">
        <f t="shared" si="21"/>
        <v/>
      </c>
      <c r="BC45" s="1760" t="str">
        <f t="shared" si="6"/>
        <v/>
      </c>
      <c r="BD45" s="1728" t="str">
        <f t="shared" si="22"/>
        <v/>
      </c>
      <c r="BE45" s="1723" t="str">
        <f t="shared" si="23"/>
        <v/>
      </c>
      <c r="BF45" s="1759" t="str">
        <f t="shared" si="24"/>
        <v/>
      </c>
      <c r="BG45" s="1760" t="str">
        <f t="shared" si="7"/>
        <v/>
      </c>
      <c r="BH45" s="261"/>
      <c r="BJ45" s="1301" t="str">
        <f t="shared" si="75"/>
        <v/>
      </c>
      <c r="BK45" s="993" t="b">
        <f t="shared" si="79"/>
        <v>0</v>
      </c>
      <c r="BL45" s="1800" t="b">
        <v>0</v>
      </c>
      <c r="BM45" s="989">
        <f t="shared" si="64"/>
        <v>0</v>
      </c>
      <c r="BN45" s="989">
        <f t="shared" si="65"/>
        <v>0</v>
      </c>
      <c r="BO45" s="989">
        <f t="shared" si="66"/>
        <v>0</v>
      </c>
      <c r="BP45" s="989">
        <f t="shared" si="51"/>
        <v>0</v>
      </c>
      <c r="BQ45" s="989">
        <f t="shared" si="67"/>
        <v>0</v>
      </c>
      <c r="BR45" s="989" t="b">
        <f t="shared" si="68"/>
        <v>1</v>
      </c>
      <c r="BS45" s="1302">
        <f t="shared" si="69"/>
        <v>6</v>
      </c>
      <c r="BT45" s="990" t="str">
        <f t="shared" si="70"/>
        <v>No</v>
      </c>
      <c r="BU45" s="1302">
        <f t="shared" si="71"/>
        <v>6</v>
      </c>
      <c r="BV45" s="990" t="str">
        <f t="shared" si="72"/>
        <v>No</v>
      </c>
      <c r="BW45" s="991">
        <f t="shared" ca="1" si="25"/>
        <v>0</v>
      </c>
      <c r="BX45" s="991" t="str">
        <f t="shared" ca="1" si="32"/>
        <v/>
      </c>
      <c r="BY45" s="991" t="b">
        <f t="shared" ca="1" si="26"/>
        <v>0</v>
      </c>
      <c r="BZ45" s="1303" t="b">
        <f t="shared" si="33"/>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73"/>
        <v/>
      </c>
      <c r="EN45" s="1634" t="str">
        <f t="shared" si="52"/>
        <v/>
      </c>
      <c r="EO45" s="650" t="str">
        <f t="shared" si="53"/>
        <v/>
      </c>
      <c r="EP45" s="651" t="str">
        <f t="shared" si="54"/>
        <v/>
      </c>
      <c r="EQ45" s="814" t="str">
        <f t="shared" si="55"/>
        <v/>
      </c>
      <c r="ER45" s="1592" t="str">
        <f t="shared" si="56"/>
        <v/>
      </c>
      <c r="ES45" s="1593" t="str">
        <f t="shared" si="57"/>
        <v/>
      </c>
      <c r="ET45" s="1594" t="str">
        <f t="shared" si="58"/>
        <v/>
      </c>
      <c r="EU45" s="1595" t="str">
        <f t="shared" si="59"/>
        <v/>
      </c>
      <c r="EX45" s="503" t="str">
        <f t="shared" ca="1" si="27"/>
        <v/>
      </c>
      <c r="EY45" s="940" t="str">
        <f t="shared" si="8"/>
        <v/>
      </c>
      <c r="EZ45" s="940" t="str">
        <f t="shared" si="28"/>
        <v/>
      </c>
      <c r="FA45" s="958" t="str">
        <f t="shared" ca="1" si="34"/>
        <v/>
      </c>
      <c r="FB45" s="134" t="str">
        <f t="shared" ca="1" si="29"/>
        <v/>
      </c>
      <c r="FC45" s="134">
        <f t="shared" ca="1" si="9"/>
        <v>0</v>
      </c>
      <c r="FD45" s="134">
        <f t="shared" ca="1" si="10"/>
        <v>0</v>
      </c>
      <c r="FE45" s="134">
        <f t="shared" ca="1" si="11"/>
        <v>0</v>
      </c>
      <c r="FF45" s="134">
        <f t="shared" ca="1" si="30"/>
        <v>0</v>
      </c>
      <c r="FN45" s="993" t="b">
        <v>0</v>
      </c>
      <c r="FO45" s="754" t="b">
        <f t="shared" si="74"/>
        <v>1</v>
      </c>
      <c r="FP45" s="754" t="b">
        <v>0</v>
      </c>
      <c r="FQ45" s="754" t="b">
        <f t="shared" si="31"/>
        <v>1</v>
      </c>
      <c r="FX45" s="251"/>
      <c r="FZ45" s="104"/>
      <c r="GA45" s="1761" t="str">
        <f t="shared" si="98"/>
        <v/>
      </c>
      <c r="GB45" s="1762" t="str">
        <f t="shared" si="99"/>
        <v/>
      </c>
      <c r="GC45" s="1763" t="str">
        <f t="shared" si="100"/>
        <v/>
      </c>
      <c r="GD45" s="1764" t="str">
        <f t="shared" si="101"/>
        <v/>
      </c>
      <c r="GE45" s="1765" t="str">
        <f t="shared" si="60"/>
        <v/>
      </c>
      <c r="GF45" s="582" t="str">
        <f t="shared" si="61"/>
        <v/>
      </c>
      <c r="GG45" s="1136"/>
      <c r="GH45" s="1137"/>
      <c r="GI45" s="1136"/>
      <c r="GJ45" s="1137"/>
      <c r="GK45" s="1640">
        <f t="shared" si="62"/>
        <v>0</v>
      </c>
      <c r="GL45" s="1640" t="e">
        <f t="shared" si="63"/>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35"/>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30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2">IF(GF48="","",CE48)</f>
        <v/>
      </c>
      <c r="GB48" s="623" t="str">
        <f t="shared" ref="GB48" si="103">IF(GF48="","",CF48)</f>
        <v/>
      </c>
      <c r="GC48" s="625" t="str">
        <f t="shared" ref="GC48" si="104">IF(GF48="","",IF(CD88="",0,CD88))</f>
        <v/>
      </c>
      <c r="GD48" s="626" t="str">
        <f t="shared" ref="GD48" si="105">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18</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6">IF(ISERROR(AR14),TRUE,IF(OR(AR14="",ISBLANK(AR14)),FALSE,IF(ISTEXT(AR14),IF(AND(AR14="P",LEFT(AS14,1)="#"),FALSE,TRUE),IF(ISTEXT(AS14),TRUE,FALSE))))</f>
        <v>0</v>
      </c>
      <c r="FG54" s="754" t="b">
        <f t="shared" ref="FG54:FG85" si="107">IF(ISERROR(AV14),TRUE,IF(OR(AV14="",ISBLANK(AV14)),FALSE,IF(ISTEXT(AV14),IF(AND(AV14="P",LEFT(AW14,1)="#"),FALSE,TRUE),IF(ISTEXT(AW14),TRUE,FALSE))))</f>
        <v>0</v>
      </c>
      <c r="FH54" s="754" t="b">
        <f t="shared" ref="FH54:FH85" si="108">IF(ISERROR(AZ14),TRUE,IF(OR(AZ14="",ISBLANK(AZ14)),FALSE,IF(ISTEXT(AZ14),IF(AND(AZ14="P",LEFT(BA14,1)="#"),FALSE,TRUE),IF(ISTEXT(BA14),TRUE,FALSE))))</f>
        <v>0</v>
      </c>
      <c r="FI54" s="754" t="b">
        <f t="shared" ref="FI54:FI85" si="109">IF(ISERROR(BD14),TRUE,IF(OR(BD14="",ISBLANK(BD14)),FALSE,IF(ISTEXT(BD14),IF(AND(BD14="P",LEFT(BE14,1)="#"),FALSE,TRUE),IF(ISTEXT(BE14),TRUE,FALSE))))</f>
        <v>0</v>
      </c>
      <c r="FJ54" s="782"/>
      <c r="FK54" s="519" t="str">
        <f>IF(ISBLANK(DH14),"",DH14)</f>
        <v/>
      </c>
      <c r="FL54" s="311" t="e">
        <f>VLOOKUP(DH14,$CB$54:$DK$85,36,FALSE)</f>
        <v>#N/A</v>
      </c>
      <c r="FM54" s="312" t="str">
        <f t="shared" ref="FM54:FM85" si="110">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11">IF(ISBLANK(DT14),"",MAX(0,DT14+VLOOKUP(FK54,$CB$54:$CD$85,3,FALSE)))</f>
        <v/>
      </c>
      <c r="GE54" s="318" t="str">
        <f t="shared" ref="GE54:GE85" si="112">IF(ISBLANK(DU14),"",MAX(0,DU14+VLOOKUP(FK54,$CB$54:$CM$85,12,FALSE)))</f>
        <v/>
      </c>
      <c r="GF54" s="269" t="str">
        <f t="shared" ref="GF54:GF85" si="113">IF(AND(ISBLANK(DV14),ISBLANK(DW14)),"",IF(DV14="P",IF(ISNUMBER(DW14),CONCATENATE("#", DW14),DW14),CEILING((DV14*12+DW14+GC54)/COS(VLOOKUP(FK54,$CB$54:$EU$85,72,FALSE))-0.0625,0.125)))</f>
        <v/>
      </c>
      <c r="GG54" s="270" t="str">
        <f t="shared" ref="GG54:GG85" si="114">IF(AND(ISBLANK(DZ14),ISBLANK(EA14)),"",IF(DZ14="P",IF(ISNUMBER(EA14),CONCATENATE("#", EA14),EA14),CEILING((DZ14*12+EA14+GC54)/COS(VLOOKUP(FK54,$CB$54:$EU$85,72,FALSE))-0.0625,0.125)))</f>
        <v/>
      </c>
      <c r="GH54" s="270" t="str">
        <f t="shared" ref="GH54:GH85" si="115">IF(AND(ISBLANK(ED14),ISBLANK(EE14)),"",IF(ED14="P",IF(ISNUMBER(EE14),CONCATENATE("#", EE14),EE14),CEILING((ED14*12+EE14+GC54)/COS(VLOOKUP(FK54,$CB$54:$EU$85,72,FALSE))-0.0625,0.125)))</f>
        <v/>
      </c>
      <c r="GI54" s="271" t="str">
        <f t="shared" ref="GI54:GI85" si="116">IF(AND(ISBLANK(EH14),ISBLANK(EI14)),"",IF(EH14="P",IF(ISNUMBER(EI14),CONCATENATE("#", EI14),EI14),CEILING((EH14*12+EI14+GC54)/COS(VLOOKUP(FK54,$CB$54:$EU$85,72,FALSE))-0.0625,0.125)))</f>
        <v/>
      </c>
      <c r="GJ54" s="319">
        <f t="shared" ref="GJ54:GJ84" ca="1" si="117">IF(FY54="",GJ55,(FY54-(FQ54+VLOOKUP(FK54,$CB$54:$EU$85,12,FALSE)-VLOOKUP(FK54,$CB$54:$EU$85,34,FALSE))/COS(VLOOKUP(FK54,$CB$54:$EU$85,72,FALSE)))/2)</f>
        <v>0</v>
      </c>
      <c r="GK54" s="916" t="str">
        <f t="shared" ref="GK54:GK85" ca="1" si="118">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6"/>
        <v>0</v>
      </c>
      <c r="FG55" s="754" t="b">
        <f t="shared" si="107"/>
        <v>0</v>
      </c>
      <c r="FH55" s="754" t="b">
        <f t="shared" si="108"/>
        <v>0</v>
      </c>
      <c r="FI55" s="917" t="b">
        <f t="shared" si="109"/>
        <v>0</v>
      </c>
      <c r="FJ55" s="920" t="str">
        <f t="shared" ref="FJ55:FJ85" si="119">IF(AND(COUNTA(DH15:EK15)&gt;0,FK55=FK54,FK55&lt;&gt;""),"G","")</f>
        <v/>
      </c>
      <c r="FK55" s="919" t="str">
        <f t="shared" ref="FK55:FK85" si="120">IF(ISBLANK(DH15),FK54,DH15)</f>
        <v/>
      </c>
      <c r="FL55" s="320" t="e">
        <f t="shared" ref="FL55:FL85" si="121">IF(ISERROR(VLOOKUP(DH15,$CB$54:$DK$85,36,FALSE)),FL54,VLOOKUP(DH15,$CB$54:$DK$85,36,FALSE))</f>
        <v>#N/A</v>
      </c>
      <c r="FM55" s="312" t="str">
        <f t="shared" si="110"/>
        <v/>
      </c>
      <c r="FN55" s="272" t="str">
        <f t="shared" ref="FN55:FN85" ca="1" si="122">IF(OR(FS55=0,DL15=""),"",IF(UPPER(FM54)="X",0,CEILING(IF(AND(DJ15="",DK15=""),IF(UPPER(FM55)="X",FP55,IF(AND(DM15="",DN15=""),(FS55-FO55*FP55)/2,(DJ15*12+DK15+(DL15*(DM15*12+DN15)))-FO55*FP55)),(DJ15*12+DK15))-0.0625,0.125)))</f>
        <v/>
      </c>
      <c r="FO55" s="273" t="str">
        <f t="shared" ref="FO55:FO85" ca="1" si="123">IF(OR(FS55=0,DL15=""),"",DL15-IF(AND(DJ15="",DK15="",FM54&lt;&gt;"X"),1,0)-IF(AND(DM15="",DN15="",FM55=""),1,0))</f>
        <v/>
      </c>
      <c r="FP55" s="274" t="str">
        <f t="shared" ref="FP55:FP85" ca="1" si="124">IF(OR(FS55=0,DL15=""),"",CEILING(IF(AND(DM15="",DN15=""),IF(DL15=FO55,(FS55-FN55-FQ55)/FO55,(FS55-IF(AND(DJ15="",DK15=""),0,FN55)-IF(FM55="",0,FQ55))/DL15),DM15*12+DN15)-0.0625,0.125))</f>
        <v/>
      </c>
      <c r="FQ55" s="274" t="str">
        <f t="shared" ref="FQ55:FQ85" ca="1" si="125">IF(OR(FS55=0,DL15=""),"",IF(UPPER(FM55)="X",0,FS55-FN55-FO55*FP55))</f>
        <v/>
      </c>
      <c r="FR55" s="321">
        <f t="shared" ref="FR55:FR85" ca="1" si="126">IF(OR(FS55=0,DL15=""),0,FS55-(FN55+FO55*FP55+FQ55))</f>
        <v>0</v>
      </c>
      <c r="FS55" s="322">
        <f t="shared" ref="FS55:FS85" ca="1" si="127">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28">IF(OR(FN55=0,FN55=""),"",(FN55+VLOOKUP(FK55,$CB$54:$CD$85,3,FALSE)-VLOOKUP(FK55,$CB$54:$DD$85,29,FALSE))/COS(VLOOKUP(FK55,$CB$54:$EU$85,72,FALSE)))</f>
        <v/>
      </c>
      <c r="FX55" s="276" t="str">
        <f t="shared" ref="FX55:FX85" ca="1" si="129">IF(FO55=0,0,IF(FP55="","",CEILING(FP55/COS(VLOOKUP(FK55,$CB$54:$EU$85,72,FALSE))-0.0625,0.125)))</f>
        <v/>
      </c>
      <c r="FY55" s="276" t="str">
        <f ca="1">IF(OR(FQ55=0,FQ55=""),"",FT55-IF(FW55="",0,FW55)-FO55*FX55)</f>
        <v/>
      </c>
      <c r="FZ55" s="276" t="str">
        <f t="shared" ref="FZ55:FZ85" ca="1" si="130">IF(FY55="","",CEILING(FT55-IF(FV55="",0,FV55)-(FO55*FX55)-0.0625,0.125))</f>
        <v/>
      </c>
      <c r="GA55" s="276" t="str">
        <f ca="1">IF(FP55="","",IF(FW55="",0,FW55)+FO55*FX55+IF(FY55="",0,FY55))</f>
        <v/>
      </c>
      <c r="GB55" s="277" t="str">
        <f ca="1">IF(FY55="","",2+SUM(FO55:OFFSET(FO55,(FU55-1)*-1,0)))</f>
        <v/>
      </c>
      <c r="GC55" s="316" t="e">
        <f t="shared" ref="GC55:GC85" si="131">IF(ISERROR(VLOOKUP(DH15,$CB$54:$CD$85,3,FALSE)),GC54,VLOOKUP(DH15,$CB$54:$CD$85,3,FALSE))</f>
        <v>#N/A</v>
      </c>
      <c r="GD55" s="324" t="str">
        <f t="shared" si="111"/>
        <v/>
      </c>
      <c r="GE55" s="325" t="str">
        <f t="shared" si="112"/>
        <v/>
      </c>
      <c r="GF55" s="278" t="str">
        <f t="shared" si="113"/>
        <v/>
      </c>
      <c r="GG55" s="279" t="str">
        <f t="shared" si="114"/>
        <v/>
      </c>
      <c r="GH55" s="279" t="str">
        <f t="shared" si="115"/>
        <v/>
      </c>
      <c r="GI55" s="280" t="str">
        <f t="shared" si="116"/>
        <v/>
      </c>
      <c r="GJ55" s="326">
        <f t="shared" ca="1" si="117"/>
        <v>0</v>
      </c>
      <c r="GK55" s="913" t="str">
        <f t="shared" ca="1" si="118"/>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6"/>
        <v>0</v>
      </c>
      <c r="FG56" s="754" t="b">
        <f t="shared" si="107"/>
        <v>0</v>
      </c>
      <c r="FH56" s="754" t="b">
        <f t="shared" si="108"/>
        <v>0</v>
      </c>
      <c r="FI56" s="917" t="b">
        <f t="shared" si="109"/>
        <v>0</v>
      </c>
      <c r="FJ56" s="920" t="str">
        <f t="shared" si="119"/>
        <v/>
      </c>
      <c r="FK56" s="919" t="str">
        <f t="shared" si="120"/>
        <v/>
      </c>
      <c r="FL56" s="320" t="e">
        <f t="shared" si="121"/>
        <v>#N/A</v>
      </c>
      <c r="FM56" s="312" t="str">
        <f t="shared" si="110"/>
        <v/>
      </c>
      <c r="FN56" s="272" t="str">
        <f t="shared" ca="1" si="122"/>
        <v/>
      </c>
      <c r="FO56" s="273" t="str">
        <f t="shared" ca="1" si="123"/>
        <v/>
      </c>
      <c r="FP56" s="274" t="str">
        <f t="shared" ca="1" si="124"/>
        <v/>
      </c>
      <c r="FQ56" s="274" t="str">
        <f t="shared" ca="1" si="125"/>
        <v/>
      </c>
      <c r="FR56" s="321">
        <f t="shared" ca="1" si="126"/>
        <v>0</v>
      </c>
      <c r="FS56" s="322">
        <f t="shared" ca="1" si="127"/>
        <v>0</v>
      </c>
      <c r="FT56" s="272" t="str">
        <f t="shared" ref="FT56:FT85" ca="1" si="132">IF(FU56="","",IF(FU56=1,IF(FL56="",OFFSET(FL56,(-1*FU55),0),FL56),FT55-GA55))</f>
        <v/>
      </c>
      <c r="FU56" s="1385" t="str">
        <f t="shared" ref="FU56:FU85" ca="1" si="133">IF(FS56=0,"",IF(FR55=0,1,FU55+1))</f>
        <v/>
      </c>
      <c r="FV56" s="323" t="str">
        <f t="shared" ref="FV56:FV85" ca="1" si="134">IF(FW56="","",CEILING(FW56+GJ56-0.0625,0.125))</f>
        <v/>
      </c>
      <c r="FW56" s="276" t="str">
        <f t="shared" ca="1" si="128"/>
        <v/>
      </c>
      <c r="FX56" s="276" t="str">
        <f t="shared" ca="1" si="129"/>
        <v/>
      </c>
      <c r="FY56" s="276" t="str">
        <f t="shared" ref="FY56:FY85" ca="1" si="135">IF(OR(FQ56=0,FQ56=""),"",FT56-IF(FW56="",0,FW56)-FO56*FX56)</f>
        <v/>
      </c>
      <c r="FZ56" s="276" t="str">
        <f t="shared" ca="1" si="130"/>
        <v/>
      </c>
      <c r="GA56" s="276" t="str">
        <f t="shared" ref="GA56:GA85" ca="1" si="136">IF(FP56="","",IF(FW56="",0,FW56)+FO56*FX56+IF(FY56="",0,FY56))</f>
        <v/>
      </c>
      <c r="GB56" s="277" t="str">
        <f ca="1">IF(FY56="","",2+SUM(FO56:OFFSET(FO56,(FU56-1)*-1,0)))</f>
        <v/>
      </c>
      <c r="GC56" s="316" t="e">
        <f t="shared" si="131"/>
        <v>#N/A</v>
      </c>
      <c r="GD56" s="324" t="str">
        <f t="shared" si="111"/>
        <v/>
      </c>
      <c r="GE56" s="325" t="str">
        <f t="shared" si="112"/>
        <v/>
      </c>
      <c r="GF56" s="278" t="str">
        <f t="shared" si="113"/>
        <v/>
      </c>
      <c r="GG56" s="279" t="str">
        <f t="shared" si="114"/>
        <v/>
      </c>
      <c r="GH56" s="279" t="str">
        <f t="shared" si="115"/>
        <v/>
      </c>
      <c r="GI56" s="280" t="str">
        <f t="shared" si="116"/>
        <v/>
      </c>
      <c r="GJ56" s="326">
        <f t="shared" ca="1" si="117"/>
        <v>0</v>
      </c>
      <c r="GK56" s="913" t="str">
        <f t="shared" ca="1" si="118"/>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6"/>
        <v>0</v>
      </c>
      <c r="FG57" s="754" t="b">
        <f t="shared" si="107"/>
        <v>0</v>
      </c>
      <c r="FH57" s="754" t="b">
        <f t="shared" si="108"/>
        <v>0</v>
      </c>
      <c r="FI57" s="917" t="b">
        <f t="shared" si="109"/>
        <v>0</v>
      </c>
      <c r="FJ57" s="920" t="str">
        <f t="shared" si="119"/>
        <v/>
      </c>
      <c r="FK57" s="919" t="str">
        <f t="shared" si="120"/>
        <v/>
      </c>
      <c r="FL57" s="320" t="e">
        <f t="shared" si="121"/>
        <v>#N/A</v>
      </c>
      <c r="FM57" s="312" t="str">
        <f t="shared" si="110"/>
        <v/>
      </c>
      <c r="FN57" s="272" t="str">
        <f t="shared" ca="1" si="122"/>
        <v/>
      </c>
      <c r="FO57" s="273" t="str">
        <f t="shared" ca="1" si="123"/>
        <v/>
      </c>
      <c r="FP57" s="274" t="str">
        <f t="shared" ca="1" si="124"/>
        <v/>
      </c>
      <c r="FQ57" s="274" t="str">
        <f t="shared" ca="1" si="125"/>
        <v/>
      </c>
      <c r="FR57" s="321">
        <f t="shared" ca="1" si="126"/>
        <v>0</v>
      </c>
      <c r="FS57" s="322">
        <f t="shared" ca="1" si="127"/>
        <v>0</v>
      </c>
      <c r="FT57" s="272" t="str">
        <f t="shared" ca="1" si="132"/>
        <v/>
      </c>
      <c r="FU57" s="1385" t="str">
        <f t="shared" ca="1" si="133"/>
        <v/>
      </c>
      <c r="FV57" s="323" t="str">
        <f t="shared" ca="1" si="134"/>
        <v/>
      </c>
      <c r="FW57" s="276" t="str">
        <f t="shared" ca="1" si="128"/>
        <v/>
      </c>
      <c r="FX57" s="276" t="str">
        <f t="shared" ca="1" si="129"/>
        <v/>
      </c>
      <c r="FY57" s="276" t="str">
        <f t="shared" ca="1" si="135"/>
        <v/>
      </c>
      <c r="FZ57" s="276" t="str">
        <f t="shared" ca="1" si="130"/>
        <v/>
      </c>
      <c r="GA57" s="276" t="str">
        <f t="shared" ca="1" si="136"/>
        <v/>
      </c>
      <c r="GB57" s="277" t="str">
        <f ca="1">IF(FY57="","",2+SUM(FO57:OFFSET(FO57,(FU57-1)*-1,0)))</f>
        <v/>
      </c>
      <c r="GC57" s="316" t="e">
        <f t="shared" si="131"/>
        <v>#N/A</v>
      </c>
      <c r="GD57" s="324" t="str">
        <f t="shared" si="111"/>
        <v/>
      </c>
      <c r="GE57" s="325" t="str">
        <f t="shared" si="112"/>
        <v/>
      </c>
      <c r="GF57" s="278" t="str">
        <f t="shared" si="113"/>
        <v/>
      </c>
      <c r="GG57" s="279" t="str">
        <f t="shared" si="114"/>
        <v/>
      </c>
      <c r="GH57" s="279" t="str">
        <f t="shared" si="115"/>
        <v/>
      </c>
      <c r="GI57" s="280" t="str">
        <f t="shared" si="116"/>
        <v/>
      </c>
      <c r="GJ57" s="326">
        <f t="shared" ca="1" si="117"/>
        <v>0</v>
      </c>
      <c r="GK57" s="913" t="str">
        <f t="shared" ca="1" si="118"/>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6"/>
        <v>0</v>
      </c>
      <c r="FG58" s="754" t="b">
        <f t="shared" si="107"/>
        <v>0</v>
      </c>
      <c r="FH58" s="754" t="b">
        <f t="shared" si="108"/>
        <v>0</v>
      </c>
      <c r="FI58" s="917" t="b">
        <f t="shared" si="109"/>
        <v>0</v>
      </c>
      <c r="FJ58" s="920" t="str">
        <f t="shared" si="119"/>
        <v/>
      </c>
      <c r="FK58" s="919" t="str">
        <f t="shared" si="120"/>
        <v/>
      </c>
      <c r="FL58" s="320" t="e">
        <f t="shared" si="121"/>
        <v>#N/A</v>
      </c>
      <c r="FM58" s="312" t="str">
        <f t="shared" si="110"/>
        <v/>
      </c>
      <c r="FN58" s="272" t="str">
        <f t="shared" ca="1" si="122"/>
        <v/>
      </c>
      <c r="FO58" s="273" t="str">
        <f t="shared" ca="1" si="123"/>
        <v/>
      </c>
      <c r="FP58" s="274" t="str">
        <f t="shared" ca="1" si="124"/>
        <v/>
      </c>
      <c r="FQ58" s="274" t="str">
        <f t="shared" ca="1" si="125"/>
        <v/>
      </c>
      <c r="FR58" s="321">
        <f t="shared" ca="1" si="126"/>
        <v>0</v>
      </c>
      <c r="FS58" s="322">
        <f t="shared" ca="1" si="127"/>
        <v>0</v>
      </c>
      <c r="FT58" s="272" t="str">
        <f t="shared" ca="1" si="132"/>
        <v/>
      </c>
      <c r="FU58" s="275" t="str">
        <f t="shared" ca="1" si="133"/>
        <v/>
      </c>
      <c r="FV58" s="323" t="str">
        <f t="shared" ca="1" si="134"/>
        <v/>
      </c>
      <c r="FW58" s="276" t="str">
        <f t="shared" ca="1" si="128"/>
        <v/>
      </c>
      <c r="FX58" s="276" t="str">
        <f t="shared" ca="1" si="129"/>
        <v/>
      </c>
      <c r="FY58" s="276" t="str">
        <f t="shared" ca="1" si="135"/>
        <v/>
      </c>
      <c r="FZ58" s="276" t="str">
        <f t="shared" ca="1" si="130"/>
        <v/>
      </c>
      <c r="GA58" s="276" t="str">
        <f t="shared" ca="1" si="136"/>
        <v/>
      </c>
      <c r="GB58" s="277" t="str">
        <f ca="1">IF(FY58="","",2+SUM(FO58:OFFSET(FO58,(FU58-1)*-1,0)))</f>
        <v/>
      </c>
      <c r="GC58" s="316" t="e">
        <f t="shared" si="131"/>
        <v>#N/A</v>
      </c>
      <c r="GD58" s="324" t="str">
        <f t="shared" si="111"/>
        <v/>
      </c>
      <c r="GE58" s="325" t="str">
        <f t="shared" si="112"/>
        <v/>
      </c>
      <c r="GF58" s="278" t="str">
        <f t="shared" si="113"/>
        <v/>
      </c>
      <c r="GG58" s="279" t="str">
        <f t="shared" si="114"/>
        <v/>
      </c>
      <c r="GH58" s="279" t="str">
        <f t="shared" si="115"/>
        <v/>
      </c>
      <c r="GI58" s="280" t="str">
        <f t="shared" si="116"/>
        <v/>
      </c>
      <c r="GJ58" s="326">
        <f t="shared" ca="1" si="117"/>
        <v>0</v>
      </c>
      <c r="GK58" s="913" t="str">
        <f t="shared" ca="1" si="118"/>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6"/>
        <v>0</v>
      </c>
      <c r="FG59" s="754" t="b">
        <f t="shared" si="107"/>
        <v>0</v>
      </c>
      <c r="FH59" s="754" t="b">
        <f t="shared" si="108"/>
        <v>0</v>
      </c>
      <c r="FI59" s="917" t="b">
        <f t="shared" si="109"/>
        <v>0</v>
      </c>
      <c r="FJ59" s="920" t="str">
        <f t="shared" si="119"/>
        <v/>
      </c>
      <c r="FK59" s="919" t="str">
        <f t="shared" si="120"/>
        <v/>
      </c>
      <c r="FL59" s="320" t="e">
        <f t="shared" si="121"/>
        <v>#N/A</v>
      </c>
      <c r="FM59" s="312" t="str">
        <f t="shared" si="110"/>
        <v/>
      </c>
      <c r="FN59" s="272" t="str">
        <f t="shared" ca="1" si="122"/>
        <v/>
      </c>
      <c r="FO59" s="273" t="str">
        <f t="shared" ca="1" si="123"/>
        <v/>
      </c>
      <c r="FP59" s="274" t="str">
        <f t="shared" ca="1" si="124"/>
        <v/>
      </c>
      <c r="FQ59" s="274" t="str">
        <f t="shared" ca="1" si="125"/>
        <v/>
      </c>
      <c r="FR59" s="321">
        <f t="shared" ca="1" si="126"/>
        <v>0</v>
      </c>
      <c r="FS59" s="322">
        <f t="shared" ca="1" si="127"/>
        <v>0</v>
      </c>
      <c r="FT59" s="272" t="str">
        <f t="shared" ca="1" si="132"/>
        <v/>
      </c>
      <c r="FU59" s="275" t="str">
        <f t="shared" ca="1" si="133"/>
        <v/>
      </c>
      <c r="FV59" s="323" t="str">
        <f t="shared" ca="1" si="134"/>
        <v/>
      </c>
      <c r="FW59" s="276" t="str">
        <f t="shared" ca="1" si="128"/>
        <v/>
      </c>
      <c r="FX59" s="276" t="str">
        <f t="shared" ca="1" si="129"/>
        <v/>
      </c>
      <c r="FY59" s="276" t="str">
        <f t="shared" ca="1" si="135"/>
        <v/>
      </c>
      <c r="FZ59" s="276" t="str">
        <f t="shared" ca="1" si="130"/>
        <v/>
      </c>
      <c r="GA59" s="276" t="str">
        <f t="shared" ca="1" si="136"/>
        <v/>
      </c>
      <c r="GB59" s="277" t="str">
        <f ca="1">IF(FY59="","",2+SUM(FO59:OFFSET(FO59,(FU59-1)*-1,0)))</f>
        <v/>
      </c>
      <c r="GC59" s="316" t="e">
        <f t="shared" si="131"/>
        <v>#N/A</v>
      </c>
      <c r="GD59" s="324" t="str">
        <f t="shared" si="111"/>
        <v/>
      </c>
      <c r="GE59" s="325" t="str">
        <f t="shared" si="112"/>
        <v/>
      </c>
      <c r="GF59" s="278" t="str">
        <f t="shared" si="113"/>
        <v/>
      </c>
      <c r="GG59" s="279" t="str">
        <f t="shared" si="114"/>
        <v/>
      </c>
      <c r="GH59" s="279" t="str">
        <f t="shared" si="115"/>
        <v/>
      </c>
      <c r="GI59" s="280" t="str">
        <f t="shared" si="116"/>
        <v/>
      </c>
      <c r="GJ59" s="326">
        <f t="shared" ca="1" si="117"/>
        <v>0</v>
      </c>
      <c r="GK59" s="913" t="str">
        <f t="shared" ca="1" si="118"/>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6"/>
        <v>0</v>
      </c>
      <c r="FG60" s="754" t="b">
        <f t="shared" si="107"/>
        <v>0</v>
      </c>
      <c r="FH60" s="754" t="b">
        <f t="shared" si="108"/>
        <v>0</v>
      </c>
      <c r="FI60" s="917" t="b">
        <f t="shared" si="109"/>
        <v>0</v>
      </c>
      <c r="FJ60" s="920" t="str">
        <f t="shared" si="119"/>
        <v/>
      </c>
      <c r="FK60" s="919" t="str">
        <f t="shared" si="120"/>
        <v/>
      </c>
      <c r="FL60" s="320" t="e">
        <f t="shared" si="121"/>
        <v>#N/A</v>
      </c>
      <c r="FM60" s="312" t="str">
        <f t="shared" si="110"/>
        <v/>
      </c>
      <c r="FN60" s="272" t="str">
        <f t="shared" ca="1" si="122"/>
        <v/>
      </c>
      <c r="FO60" s="273" t="str">
        <f t="shared" ca="1" si="123"/>
        <v/>
      </c>
      <c r="FP60" s="274" t="str">
        <f t="shared" ca="1" si="124"/>
        <v/>
      </c>
      <c r="FQ60" s="274" t="str">
        <f t="shared" ca="1" si="125"/>
        <v/>
      </c>
      <c r="FR60" s="321">
        <f t="shared" ca="1" si="126"/>
        <v>0</v>
      </c>
      <c r="FS60" s="322">
        <f t="shared" ca="1" si="127"/>
        <v>0</v>
      </c>
      <c r="FT60" s="272" t="str">
        <f t="shared" ca="1" si="132"/>
        <v/>
      </c>
      <c r="FU60" s="275" t="str">
        <f t="shared" ca="1" si="133"/>
        <v/>
      </c>
      <c r="FV60" s="323" t="str">
        <f t="shared" ca="1" si="134"/>
        <v/>
      </c>
      <c r="FW60" s="276" t="str">
        <f t="shared" ca="1" si="128"/>
        <v/>
      </c>
      <c r="FX60" s="276" t="str">
        <f t="shared" ca="1" si="129"/>
        <v/>
      </c>
      <c r="FY60" s="276" t="str">
        <f t="shared" ca="1" si="135"/>
        <v/>
      </c>
      <c r="FZ60" s="276" t="str">
        <f t="shared" ca="1" si="130"/>
        <v/>
      </c>
      <c r="GA60" s="276" t="str">
        <f t="shared" ca="1" si="136"/>
        <v/>
      </c>
      <c r="GB60" s="277" t="str">
        <f ca="1">IF(FY60="","",2+SUM(FO60:OFFSET(FO60,(FU60-1)*-1,0)))</f>
        <v/>
      </c>
      <c r="GC60" s="316" t="e">
        <f t="shared" si="131"/>
        <v>#N/A</v>
      </c>
      <c r="GD60" s="324" t="str">
        <f t="shared" si="111"/>
        <v/>
      </c>
      <c r="GE60" s="325" t="str">
        <f t="shared" si="112"/>
        <v/>
      </c>
      <c r="GF60" s="278" t="str">
        <f t="shared" si="113"/>
        <v/>
      </c>
      <c r="GG60" s="279" t="str">
        <f t="shared" si="114"/>
        <v/>
      </c>
      <c r="GH60" s="279" t="str">
        <f t="shared" si="115"/>
        <v/>
      </c>
      <c r="GI60" s="280" t="str">
        <f t="shared" si="116"/>
        <v/>
      </c>
      <c r="GJ60" s="326">
        <f t="shared" ca="1" si="117"/>
        <v>0</v>
      </c>
      <c r="GK60" s="913" t="str">
        <f t="shared" ca="1" si="118"/>
        <v/>
      </c>
    </row>
    <row r="61" spans="1:193" ht="12.6" hidden="1" customHeight="1" x14ac:dyDescent="0.2">
      <c r="A61" s="894" t="s">
        <v>1620</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6"/>
        <v>0</v>
      </c>
      <c r="FG61" s="754" t="b">
        <f t="shared" si="107"/>
        <v>0</v>
      </c>
      <c r="FH61" s="754" t="b">
        <f t="shared" si="108"/>
        <v>0</v>
      </c>
      <c r="FI61" s="917" t="b">
        <f t="shared" si="109"/>
        <v>0</v>
      </c>
      <c r="FJ61" s="920" t="str">
        <f t="shared" si="119"/>
        <v/>
      </c>
      <c r="FK61" s="919" t="str">
        <f t="shared" si="120"/>
        <v/>
      </c>
      <c r="FL61" s="320" t="e">
        <f t="shared" si="121"/>
        <v>#N/A</v>
      </c>
      <c r="FM61" s="312" t="str">
        <f t="shared" si="110"/>
        <v/>
      </c>
      <c r="FN61" s="272" t="str">
        <f t="shared" ca="1" si="122"/>
        <v/>
      </c>
      <c r="FO61" s="273" t="str">
        <f t="shared" ca="1" si="123"/>
        <v/>
      </c>
      <c r="FP61" s="274" t="str">
        <f t="shared" ca="1" si="124"/>
        <v/>
      </c>
      <c r="FQ61" s="274" t="str">
        <f t="shared" ca="1" si="125"/>
        <v/>
      </c>
      <c r="FR61" s="321">
        <f t="shared" ca="1" si="126"/>
        <v>0</v>
      </c>
      <c r="FS61" s="322">
        <f t="shared" ca="1" si="127"/>
        <v>0</v>
      </c>
      <c r="FT61" s="272" t="str">
        <f t="shared" ca="1" si="132"/>
        <v/>
      </c>
      <c r="FU61" s="275" t="str">
        <f t="shared" ca="1" si="133"/>
        <v/>
      </c>
      <c r="FV61" s="323" t="str">
        <f t="shared" ca="1" si="134"/>
        <v/>
      </c>
      <c r="FW61" s="276" t="str">
        <f t="shared" ca="1" si="128"/>
        <v/>
      </c>
      <c r="FX61" s="276" t="str">
        <f t="shared" ca="1" si="129"/>
        <v/>
      </c>
      <c r="FY61" s="276" t="str">
        <f t="shared" ca="1" si="135"/>
        <v/>
      </c>
      <c r="FZ61" s="276" t="str">
        <f t="shared" ca="1" si="130"/>
        <v/>
      </c>
      <c r="GA61" s="276" t="str">
        <f t="shared" ca="1" si="136"/>
        <v/>
      </c>
      <c r="GB61" s="277" t="str">
        <f ca="1">IF(FY61="","",2+SUM(FO61:OFFSET(FO61,(FU61-1)*-1,0)))</f>
        <v/>
      </c>
      <c r="GC61" s="316" t="e">
        <f t="shared" si="131"/>
        <v>#N/A</v>
      </c>
      <c r="GD61" s="324" t="str">
        <f t="shared" si="111"/>
        <v/>
      </c>
      <c r="GE61" s="325" t="str">
        <f t="shared" si="112"/>
        <v/>
      </c>
      <c r="GF61" s="278" t="str">
        <f t="shared" si="113"/>
        <v/>
      </c>
      <c r="GG61" s="279" t="str">
        <f t="shared" si="114"/>
        <v/>
      </c>
      <c r="GH61" s="279" t="str">
        <f t="shared" si="115"/>
        <v/>
      </c>
      <c r="GI61" s="280" t="str">
        <f t="shared" si="116"/>
        <v/>
      </c>
      <c r="GJ61" s="326">
        <f t="shared" ca="1" si="117"/>
        <v>0</v>
      </c>
      <c r="GK61" s="913" t="str">
        <f t="shared" ca="1" si="118"/>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6"/>
        <v>0</v>
      </c>
      <c r="FG62" s="754" t="b">
        <f t="shared" si="107"/>
        <v>0</v>
      </c>
      <c r="FH62" s="754" t="b">
        <f t="shared" si="108"/>
        <v>0</v>
      </c>
      <c r="FI62" s="917" t="b">
        <f t="shared" si="109"/>
        <v>0</v>
      </c>
      <c r="FJ62" s="920" t="str">
        <f t="shared" si="119"/>
        <v/>
      </c>
      <c r="FK62" s="919" t="str">
        <f t="shared" si="120"/>
        <v/>
      </c>
      <c r="FL62" s="320" t="e">
        <f t="shared" si="121"/>
        <v>#N/A</v>
      </c>
      <c r="FM62" s="312" t="str">
        <f t="shared" si="110"/>
        <v/>
      </c>
      <c r="FN62" s="272" t="str">
        <f t="shared" ca="1" si="122"/>
        <v/>
      </c>
      <c r="FO62" s="273" t="str">
        <f t="shared" ca="1" si="123"/>
        <v/>
      </c>
      <c r="FP62" s="274" t="str">
        <f t="shared" ca="1" si="124"/>
        <v/>
      </c>
      <c r="FQ62" s="274" t="str">
        <f t="shared" ca="1" si="125"/>
        <v/>
      </c>
      <c r="FR62" s="321">
        <f t="shared" ca="1" si="126"/>
        <v>0</v>
      </c>
      <c r="FS62" s="322">
        <f t="shared" ca="1" si="127"/>
        <v>0</v>
      </c>
      <c r="FT62" s="272" t="str">
        <f t="shared" ca="1" si="132"/>
        <v/>
      </c>
      <c r="FU62" s="275" t="str">
        <f t="shared" ca="1" si="133"/>
        <v/>
      </c>
      <c r="FV62" s="323" t="str">
        <f t="shared" ca="1" si="134"/>
        <v/>
      </c>
      <c r="FW62" s="276" t="str">
        <f t="shared" ca="1" si="128"/>
        <v/>
      </c>
      <c r="FX62" s="276" t="str">
        <f t="shared" ca="1" si="129"/>
        <v/>
      </c>
      <c r="FY62" s="276" t="str">
        <f t="shared" ca="1" si="135"/>
        <v/>
      </c>
      <c r="FZ62" s="276" t="str">
        <f t="shared" ca="1" si="130"/>
        <v/>
      </c>
      <c r="GA62" s="276" t="str">
        <f t="shared" ca="1" si="136"/>
        <v/>
      </c>
      <c r="GB62" s="277" t="str">
        <f ca="1">IF(FY62="","",2+SUM(FO62:OFFSET(FO62,(FU62-1)*-1,0)))</f>
        <v/>
      </c>
      <c r="GC62" s="316" t="e">
        <f t="shared" si="131"/>
        <v>#N/A</v>
      </c>
      <c r="GD62" s="324" t="str">
        <f t="shared" si="111"/>
        <v/>
      </c>
      <c r="GE62" s="325" t="str">
        <f t="shared" si="112"/>
        <v/>
      </c>
      <c r="GF62" s="278" t="str">
        <f t="shared" si="113"/>
        <v/>
      </c>
      <c r="GG62" s="279" t="str">
        <f t="shared" si="114"/>
        <v/>
      </c>
      <c r="GH62" s="279" t="str">
        <f t="shared" si="115"/>
        <v/>
      </c>
      <c r="GI62" s="280" t="str">
        <f t="shared" si="116"/>
        <v/>
      </c>
      <c r="GJ62" s="326">
        <f t="shared" ca="1" si="117"/>
        <v>0</v>
      </c>
      <c r="GK62" s="913" t="str">
        <f t="shared" ca="1" si="118"/>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6"/>
        <v>0</v>
      </c>
      <c r="FG63" s="754" t="b">
        <f t="shared" si="107"/>
        <v>0</v>
      </c>
      <c r="FH63" s="754" t="b">
        <f t="shared" si="108"/>
        <v>0</v>
      </c>
      <c r="FI63" s="917" t="b">
        <f t="shared" si="109"/>
        <v>0</v>
      </c>
      <c r="FJ63" s="920" t="str">
        <f t="shared" si="119"/>
        <v/>
      </c>
      <c r="FK63" s="919" t="str">
        <f t="shared" si="120"/>
        <v/>
      </c>
      <c r="FL63" s="320" t="e">
        <f t="shared" si="121"/>
        <v>#N/A</v>
      </c>
      <c r="FM63" s="312" t="str">
        <f t="shared" si="110"/>
        <v/>
      </c>
      <c r="FN63" s="272" t="str">
        <f t="shared" ca="1" si="122"/>
        <v/>
      </c>
      <c r="FO63" s="273" t="str">
        <f t="shared" ca="1" si="123"/>
        <v/>
      </c>
      <c r="FP63" s="274" t="str">
        <f t="shared" ca="1" si="124"/>
        <v/>
      </c>
      <c r="FQ63" s="274" t="str">
        <f t="shared" ca="1" si="125"/>
        <v/>
      </c>
      <c r="FR63" s="321">
        <f t="shared" ca="1" si="126"/>
        <v>0</v>
      </c>
      <c r="FS63" s="322">
        <f t="shared" ca="1" si="127"/>
        <v>0</v>
      </c>
      <c r="FT63" s="272" t="str">
        <f t="shared" ca="1" si="132"/>
        <v/>
      </c>
      <c r="FU63" s="275" t="str">
        <f t="shared" ca="1" si="133"/>
        <v/>
      </c>
      <c r="FV63" s="323" t="str">
        <f t="shared" ca="1" si="134"/>
        <v/>
      </c>
      <c r="FW63" s="276" t="str">
        <f t="shared" ca="1" si="128"/>
        <v/>
      </c>
      <c r="FX63" s="276" t="str">
        <f t="shared" ca="1" si="129"/>
        <v/>
      </c>
      <c r="FY63" s="276" t="str">
        <f t="shared" ca="1" si="135"/>
        <v/>
      </c>
      <c r="FZ63" s="276" t="str">
        <f t="shared" ca="1" si="130"/>
        <v/>
      </c>
      <c r="GA63" s="276" t="str">
        <f t="shared" ca="1" si="136"/>
        <v/>
      </c>
      <c r="GB63" s="277" t="str">
        <f ca="1">IF(FY63="","",2+SUM(FO63:OFFSET(FO63,(FU63-1)*-1,0)))</f>
        <v/>
      </c>
      <c r="GC63" s="316" t="e">
        <f t="shared" si="131"/>
        <v>#N/A</v>
      </c>
      <c r="GD63" s="324" t="str">
        <f t="shared" si="111"/>
        <v/>
      </c>
      <c r="GE63" s="325" t="str">
        <f t="shared" si="112"/>
        <v/>
      </c>
      <c r="GF63" s="278" t="str">
        <f t="shared" si="113"/>
        <v/>
      </c>
      <c r="GG63" s="279" t="str">
        <f t="shared" si="114"/>
        <v/>
      </c>
      <c r="GH63" s="279" t="str">
        <f t="shared" si="115"/>
        <v/>
      </c>
      <c r="GI63" s="280" t="str">
        <f t="shared" si="116"/>
        <v/>
      </c>
      <c r="GJ63" s="326">
        <f t="shared" ca="1" si="117"/>
        <v>0</v>
      </c>
      <c r="GK63" s="913" t="str">
        <f t="shared" ca="1" si="118"/>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6"/>
        <v>0</v>
      </c>
      <c r="FG64" s="754" t="b">
        <f t="shared" si="107"/>
        <v>0</v>
      </c>
      <c r="FH64" s="754" t="b">
        <f t="shared" si="108"/>
        <v>0</v>
      </c>
      <c r="FI64" s="917" t="b">
        <f t="shared" si="109"/>
        <v>0</v>
      </c>
      <c r="FJ64" s="920" t="str">
        <f t="shared" si="119"/>
        <v/>
      </c>
      <c r="FK64" s="919" t="str">
        <f t="shared" si="120"/>
        <v/>
      </c>
      <c r="FL64" s="320" t="e">
        <f t="shared" si="121"/>
        <v>#N/A</v>
      </c>
      <c r="FM64" s="312" t="str">
        <f t="shared" si="110"/>
        <v/>
      </c>
      <c r="FN64" s="272" t="str">
        <f t="shared" ca="1" si="122"/>
        <v/>
      </c>
      <c r="FO64" s="273" t="str">
        <f t="shared" ca="1" si="123"/>
        <v/>
      </c>
      <c r="FP64" s="274" t="str">
        <f t="shared" ca="1" si="124"/>
        <v/>
      </c>
      <c r="FQ64" s="274" t="str">
        <f t="shared" ca="1" si="125"/>
        <v/>
      </c>
      <c r="FR64" s="321">
        <f t="shared" ca="1" si="126"/>
        <v>0</v>
      </c>
      <c r="FS64" s="322">
        <f t="shared" ca="1" si="127"/>
        <v>0</v>
      </c>
      <c r="FT64" s="272" t="str">
        <f t="shared" ca="1" si="132"/>
        <v/>
      </c>
      <c r="FU64" s="275" t="str">
        <f t="shared" ca="1" si="133"/>
        <v/>
      </c>
      <c r="FV64" s="323" t="str">
        <f t="shared" ca="1" si="134"/>
        <v/>
      </c>
      <c r="FW64" s="276" t="str">
        <f t="shared" ca="1" si="128"/>
        <v/>
      </c>
      <c r="FX64" s="276" t="str">
        <f t="shared" ca="1" si="129"/>
        <v/>
      </c>
      <c r="FY64" s="276" t="str">
        <f t="shared" ca="1" si="135"/>
        <v/>
      </c>
      <c r="FZ64" s="276" t="str">
        <f t="shared" ca="1" si="130"/>
        <v/>
      </c>
      <c r="GA64" s="276" t="str">
        <f t="shared" ca="1" si="136"/>
        <v/>
      </c>
      <c r="GB64" s="277" t="str">
        <f ca="1">IF(FY64="","",2+SUM(FO64:OFFSET(FO64,(FU64-1)*-1,0)))</f>
        <v/>
      </c>
      <c r="GC64" s="316" t="e">
        <f t="shared" si="131"/>
        <v>#N/A</v>
      </c>
      <c r="GD64" s="324" t="str">
        <f t="shared" si="111"/>
        <v/>
      </c>
      <c r="GE64" s="325" t="str">
        <f t="shared" si="112"/>
        <v/>
      </c>
      <c r="GF64" s="278" t="str">
        <f t="shared" si="113"/>
        <v/>
      </c>
      <c r="GG64" s="279" t="str">
        <f t="shared" si="114"/>
        <v/>
      </c>
      <c r="GH64" s="279" t="str">
        <f t="shared" si="115"/>
        <v/>
      </c>
      <c r="GI64" s="280" t="str">
        <f t="shared" si="116"/>
        <v/>
      </c>
      <c r="GJ64" s="326">
        <f t="shared" ca="1" si="117"/>
        <v>0</v>
      </c>
      <c r="GK64" s="913" t="str">
        <f t="shared" ca="1" si="118"/>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6"/>
        <v>0</v>
      </c>
      <c r="FG65" s="754" t="b">
        <f t="shared" si="107"/>
        <v>0</v>
      </c>
      <c r="FH65" s="754" t="b">
        <f t="shared" si="108"/>
        <v>0</v>
      </c>
      <c r="FI65" s="917" t="b">
        <f t="shared" si="109"/>
        <v>0</v>
      </c>
      <c r="FJ65" s="920" t="str">
        <f t="shared" si="119"/>
        <v/>
      </c>
      <c r="FK65" s="919" t="str">
        <f t="shared" si="120"/>
        <v/>
      </c>
      <c r="FL65" s="320" t="e">
        <f t="shared" si="121"/>
        <v>#N/A</v>
      </c>
      <c r="FM65" s="312" t="str">
        <f t="shared" si="110"/>
        <v/>
      </c>
      <c r="FN65" s="272" t="str">
        <f t="shared" ca="1" si="122"/>
        <v/>
      </c>
      <c r="FO65" s="273" t="str">
        <f t="shared" ca="1" si="123"/>
        <v/>
      </c>
      <c r="FP65" s="274" t="str">
        <f t="shared" ca="1" si="124"/>
        <v/>
      </c>
      <c r="FQ65" s="274" t="str">
        <f t="shared" ca="1" si="125"/>
        <v/>
      </c>
      <c r="FR65" s="321">
        <f t="shared" ca="1" si="126"/>
        <v>0</v>
      </c>
      <c r="FS65" s="322">
        <f t="shared" ca="1" si="127"/>
        <v>0</v>
      </c>
      <c r="FT65" s="272" t="str">
        <f t="shared" ca="1" si="132"/>
        <v/>
      </c>
      <c r="FU65" s="275" t="str">
        <f t="shared" ca="1" si="133"/>
        <v/>
      </c>
      <c r="FV65" s="323" t="str">
        <f t="shared" ca="1" si="134"/>
        <v/>
      </c>
      <c r="FW65" s="276" t="str">
        <f t="shared" ca="1" si="128"/>
        <v/>
      </c>
      <c r="FX65" s="276" t="str">
        <f t="shared" ca="1" si="129"/>
        <v/>
      </c>
      <c r="FY65" s="276" t="str">
        <f t="shared" ca="1" si="135"/>
        <v/>
      </c>
      <c r="FZ65" s="276" t="str">
        <f t="shared" ca="1" si="130"/>
        <v/>
      </c>
      <c r="GA65" s="276" t="str">
        <f t="shared" ca="1" si="136"/>
        <v/>
      </c>
      <c r="GB65" s="277" t="str">
        <f ca="1">IF(FY65="","",2+SUM(FO65:OFFSET(FO65,(FU65-1)*-1,0)))</f>
        <v/>
      </c>
      <c r="GC65" s="316" t="e">
        <f t="shared" si="131"/>
        <v>#N/A</v>
      </c>
      <c r="GD65" s="324" t="str">
        <f t="shared" si="111"/>
        <v/>
      </c>
      <c r="GE65" s="325" t="str">
        <f t="shared" si="112"/>
        <v/>
      </c>
      <c r="GF65" s="278" t="str">
        <f t="shared" si="113"/>
        <v/>
      </c>
      <c r="GG65" s="279" t="str">
        <f t="shared" si="114"/>
        <v/>
      </c>
      <c r="GH65" s="279" t="str">
        <f t="shared" si="115"/>
        <v/>
      </c>
      <c r="GI65" s="280" t="str">
        <f t="shared" si="116"/>
        <v/>
      </c>
      <c r="GJ65" s="326">
        <f t="shared" ca="1" si="117"/>
        <v>0</v>
      </c>
      <c r="GK65" s="913" t="str">
        <f t="shared" ca="1" si="118"/>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6"/>
        <v>0</v>
      </c>
      <c r="FG66" s="754" t="b">
        <f t="shared" si="107"/>
        <v>0</v>
      </c>
      <c r="FH66" s="754" t="b">
        <f t="shared" si="108"/>
        <v>0</v>
      </c>
      <c r="FI66" s="917" t="b">
        <f t="shared" si="109"/>
        <v>0</v>
      </c>
      <c r="FJ66" s="920" t="str">
        <f t="shared" si="119"/>
        <v/>
      </c>
      <c r="FK66" s="919" t="str">
        <f t="shared" si="120"/>
        <v/>
      </c>
      <c r="FL66" s="320" t="e">
        <f t="shared" si="121"/>
        <v>#N/A</v>
      </c>
      <c r="FM66" s="312" t="str">
        <f t="shared" si="110"/>
        <v/>
      </c>
      <c r="FN66" s="272" t="str">
        <f t="shared" ca="1" si="122"/>
        <v/>
      </c>
      <c r="FO66" s="273" t="str">
        <f t="shared" ca="1" si="123"/>
        <v/>
      </c>
      <c r="FP66" s="274" t="str">
        <f t="shared" ca="1" si="124"/>
        <v/>
      </c>
      <c r="FQ66" s="274" t="str">
        <f t="shared" ca="1" si="125"/>
        <v/>
      </c>
      <c r="FR66" s="321">
        <f t="shared" ca="1" si="126"/>
        <v>0</v>
      </c>
      <c r="FS66" s="322">
        <f t="shared" ca="1" si="127"/>
        <v>0</v>
      </c>
      <c r="FT66" s="272" t="str">
        <f t="shared" ca="1" si="132"/>
        <v/>
      </c>
      <c r="FU66" s="275" t="str">
        <f t="shared" ca="1" si="133"/>
        <v/>
      </c>
      <c r="FV66" s="323" t="str">
        <f t="shared" ca="1" si="134"/>
        <v/>
      </c>
      <c r="FW66" s="276" t="str">
        <f t="shared" ca="1" si="128"/>
        <v/>
      </c>
      <c r="FX66" s="276" t="str">
        <f t="shared" ca="1" si="129"/>
        <v/>
      </c>
      <c r="FY66" s="276" t="str">
        <f t="shared" ca="1" si="135"/>
        <v/>
      </c>
      <c r="FZ66" s="276" t="str">
        <f t="shared" ca="1" si="130"/>
        <v/>
      </c>
      <c r="GA66" s="276" t="str">
        <f t="shared" ca="1" si="136"/>
        <v/>
      </c>
      <c r="GB66" s="277" t="str">
        <f ca="1">IF(FY66="","",2+SUM(FO66:OFFSET(FO66,(FU66-1)*-1,0)))</f>
        <v/>
      </c>
      <c r="GC66" s="316" t="e">
        <f t="shared" si="131"/>
        <v>#N/A</v>
      </c>
      <c r="GD66" s="324" t="str">
        <f t="shared" si="111"/>
        <v/>
      </c>
      <c r="GE66" s="325" t="str">
        <f t="shared" si="112"/>
        <v/>
      </c>
      <c r="GF66" s="278" t="str">
        <f t="shared" si="113"/>
        <v/>
      </c>
      <c r="GG66" s="279" t="str">
        <f t="shared" si="114"/>
        <v/>
      </c>
      <c r="GH66" s="279" t="str">
        <f t="shared" si="115"/>
        <v/>
      </c>
      <c r="GI66" s="280" t="str">
        <f t="shared" si="116"/>
        <v/>
      </c>
      <c r="GJ66" s="326">
        <f t="shared" ca="1" si="117"/>
        <v>0</v>
      </c>
      <c r="GK66" s="913" t="str">
        <f t="shared" ca="1" si="118"/>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6"/>
        <v>0</v>
      </c>
      <c r="FG67" s="754" t="b">
        <f t="shared" si="107"/>
        <v>0</v>
      </c>
      <c r="FH67" s="754" t="b">
        <f t="shared" si="108"/>
        <v>0</v>
      </c>
      <c r="FI67" s="917" t="b">
        <f t="shared" si="109"/>
        <v>0</v>
      </c>
      <c r="FJ67" s="920" t="str">
        <f t="shared" si="119"/>
        <v/>
      </c>
      <c r="FK67" s="919" t="str">
        <f t="shared" si="120"/>
        <v/>
      </c>
      <c r="FL67" s="320" t="e">
        <f t="shared" si="121"/>
        <v>#N/A</v>
      </c>
      <c r="FM67" s="312" t="str">
        <f t="shared" si="110"/>
        <v/>
      </c>
      <c r="FN67" s="272" t="str">
        <f t="shared" ca="1" si="122"/>
        <v/>
      </c>
      <c r="FO67" s="273" t="str">
        <f t="shared" ca="1" si="123"/>
        <v/>
      </c>
      <c r="FP67" s="274" t="str">
        <f t="shared" ca="1" si="124"/>
        <v/>
      </c>
      <c r="FQ67" s="274" t="str">
        <f t="shared" ca="1" si="125"/>
        <v/>
      </c>
      <c r="FR67" s="321">
        <f t="shared" ca="1" si="126"/>
        <v>0</v>
      </c>
      <c r="FS67" s="322">
        <f t="shared" ca="1" si="127"/>
        <v>0</v>
      </c>
      <c r="FT67" s="272" t="str">
        <f t="shared" ca="1" si="132"/>
        <v/>
      </c>
      <c r="FU67" s="275" t="str">
        <f t="shared" ca="1" si="133"/>
        <v/>
      </c>
      <c r="FV67" s="323" t="str">
        <f t="shared" ca="1" si="134"/>
        <v/>
      </c>
      <c r="FW67" s="276" t="str">
        <f t="shared" ca="1" si="128"/>
        <v/>
      </c>
      <c r="FX67" s="276" t="str">
        <f t="shared" ca="1" si="129"/>
        <v/>
      </c>
      <c r="FY67" s="276" t="str">
        <f t="shared" ca="1" si="135"/>
        <v/>
      </c>
      <c r="FZ67" s="276" t="str">
        <f t="shared" ca="1" si="130"/>
        <v/>
      </c>
      <c r="GA67" s="276" t="str">
        <f t="shared" ca="1" si="136"/>
        <v/>
      </c>
      <c r="GB67" s="277" t="str">
        <f ca="1">IF(FY67="","",2+SUM(FO67:OFFSET(FO67,(FU67-1)*-1,0)))</f>
        <v/>
      </c>
      <c r="GC67" s="316" t="e">
        <f t="shared" si="131"/>
        <v>#N/A</v>
      </c>
      <c r="GD67" s="324" t="str">
        <f t="shared" si="111"/>
        <v/>
      </c>
      <c r="GE67" s="325" t="str">
        <f t="shared" si="112"/>
        <v/>
      </c>
      <c r="GF67" s="278" t="str">
        <f t="shared" si="113"/>
        <v/>
      </c>
      <c r="GG67" s="279" t="str">
        <f t="shared" si="114"/>
        <v/>
      </c>
      <c r="GH67" s="279" t="str">
        <f t="shared" si="115"/>
        <v/>
      </c>
      <c r="GI67" s="280" t="str">
        <f t="shared" si="116"/>
        <v/>
      </c>
      <c r="GJ67" s="326">
        <f t="shared" ca="1" si="117"/>
        <v>0</v>
      </c>
      <c r="GK67" s="913" t="str">
        <f t="shared" ca="1" si="118"/>
        <v/>
      </c>
    </row>
    <row r="68" spans="78:196" ht="12.6" hidden="1" customHeight="1" x14ac:dyDescent="0.2">
      <c r="BZ68" s="293"/>
      <c r="CA68" s="293"/>
      <c r="CB68" s="365" t="str">
        <f t="shared" ref="CB68:CB85" si="137">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38">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39">CW28*-1</f>
        <v>0</v>
      </c>
      <c r="CU68" s="369">
        <f t="shared" ref="CU68:CU85" si="140">IF(DA28="",0,ATAN(DA28/12))</f>
        <v>0</v>
      </c>
      <c r="CV68" s="274" t="str">
        <f t="shared" ref="CV68:CV85" si="141">IF(OR(CD68="",CE28="",CM68=""),"",CEILING(IF(AND(CE28="",CF28=""),"",((CE28*12+CF28)+CD68+CM68)/COS(EU68))-0.0625,0.125))</f>
        <v/>
      </c>
      <c r="CW68" s="274" t="str">
        <f t="shared" ref="CW68:CW85" si="142">IF(CF68="","",IF(ABS(EM68)&lt;ABS($FA$2),CF68,IF(EM68=0,CF68,CEILING((CF68+((DC68-CD68)/12)*EM68)-0.0625,0.125))))</f>
        <v/>
      </c>
      <c r="CX68" s="873" t="str">
        <f t="shared" ref="CX68:CX85" si="143">IF(CO68="","",IF(ABS(ER68)&lt;ABS($FA$2),CO68,IF(ER68=0,CO68,CEILING((CO68+((DI68-CM68)/12)*ER68)-0.0625,0.125))))</f>
        <v/>
      </c>
      <c r="CY68" s="874">
        <f t="shared" ref="CY68:CY85" si="144">RADIANS(ABS(CL28))</f>
        <v>0</v>
      </c>
      <c r="CZ68" s="874">
        <f t="shared" ref="CZ68:CZ85" si="145">MIN(IF(CH28&gt;0,CH28/2,MAX(CI28/2,CJ68)),IF(CI28&gt;0,CI28/2,MAX(CH28/2,CJ68)),IF(CJ68&gt;0,CJ68,MAX(CI28/2,CH28/2)))/IF(OR(CC68="C",AND(CC68="M",$FG$1="N")),1,COS(CY68))</f>
        <v>0</v>
      </c>
      <c r="DA68" s="874" t="str">
        <f t="shared" ref="DA68:DA85" si="146">IF(CD68="","",IF(CJ68&gt;=0,MAX(CH28/2,CI28/2,CJ68),CJ68)/IF(OR(CC68="C",AND(CC68="M",$FG$1="N")),1,COS(CY68)))</f>
        <v/>
      </c>
      <c r="DB68" s="1310" t="str">
        <f>IF(CD68="","",CD68+DA68+($EY$4*TAN(CY68)))</f>
        <v/>
      </c>
      <c r="DC68" s="1310" t="str">
        <f t="shared" ref="DC68:DC85" si="147">IF(CD68="","",IF(NOT(ISBLANK(CO28)),CD68-CO28,MAX(IF(AND(CZ68&gt;=$FB$4,DA68&lt;=$FA$4,OR($FA$1=1,$FA$1=4)),CD68,IF(OR($FA$1=3,$FA$1=4),DB68-$FA$4,DB68+MAX(($FA$4-$FB$4)-(DA68-CZ68)-$EY$4/2*TAN(CY68),0)-$FA$4))-EO68,0)))</f>
        <v/>
      </c>
      <c r="DD68" s="1311">
        <f>IF(CD68="",0,IF(DC68/COS(EU68)&lt;0.0625,0,CEILING(DC68/COS(EU68)-0.03125,0.125)))</f>
        <v>0</v>
      </c>
      <c r="DE68" s="1310">
        <f t="shared" ref="DE68:DE85" si="148">RADIANS(ABS(CV28))</f>
        <v>0</v>
      </c>
      <c r="DF68" s="1312">
        <f t="shared" ref="DF68:DF85" si="149">MIN(IF(CR28&gt;0,CR28/2,MAX(CS28/2,CS68)),IF(CS28&gt;0,CS28/2,MAX(CR28/2,CS68)),IF(CS68&gt;0,CS68,MAX(CS28/2,CR28/2)))/IF(OR(CL68="C",AND(CL68="M",$FG$1="N")),1,COS(DE68))</f>
        <v>0</v>
      </c>
      <c r="DG68" s="1312" t="str">
        <f t="shared" ref="DG68:DG85" si="150">IF(CM68="","",IF(CS68&gt;=0,MAX(CR28/2,CS28/2,CS68),CS68)/IF(OR(CL68="C",AND(CL68="M",$FG$1="N")),1,COS(DE68)))</f>
        <v/>
      </c>
      <c r="DH68" s="1310" t="str">
        <f>IF(CM68="","",CM68+DG68+($EY$4*TAN(DE68)))</f>
        <v/>
      </c>
      <c r="DI68" s="1310" t="str">
        <f t="shared" ref="DI68:DI85" si="151">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52">IF(DL68="ERR","ERR",IF(DL68="","",IF(CR68*TAN(CY68)&lt;=($FE$4-($FD$4-0.0625)),CD68-(DL68-EO68)/IF(OR(CC68="C",AND(CC68="M",$FG$1="N")),1,COS(CY68))-IF(MID(CE68,1,1)="R",0,DC68),(ABS(DL68-EO68)/IF(OR(CC68="C",AND(CC68="M",$FG$1="N")),1,COS(CY68))+CD68)-((CR68/2)*TAN(CY68))-IF(MID(CE68,1,1)="R",0,DC68))))</f>
        <v/>
      </c>
      <c r="DN68" s="1310" t="str">
        <f t="shared" ref="DN68:DN85" si="153">IF(DL68="ERR","ERR",IF(DL68="","",IF(CI68*TAN(CY68)&lt;=($FE$4-($FD$4-0.0625)),CD68-(DL68-EO68)/IF(OR(CC68="C",AND(CC68="M",$FG$1="N")),1,COS(CY68))-IF(MID(CE68,1,1)="R",0,DC68),(ABS(DL68-EO68)/IF(OR(CC68="C",AND(CC68="M",$FG$1="N")),1,COS(CY68))+CD68)+((CI68/2)*TAN(CY68))-IF(MID(CE68,1,1)="R",0,DC68))))</f>
        <v/>
      </c>
      <c r="DO68" s="889" t="str">
        <f t="shared" ref="DO68:DO85" si="154">IF(ISBLANK(CO28),IF(DM68&lt;$EX$6+($FD$4-0.0625)/2,"ERR",IF(DM68&lt;$EX$6+$FE$4/2,($FE$4/2+$EX$6),IF(DM68&lt;$FA$4+IF(MID(CE68,1,1)="R",DC68+CO28,0)-$FE$4/2-$EX$6,DM68,IF(DM68&lt;=$FA$4+IF(MID(CE68,1,1)="R",DC68,0)-($FD$4-0.0625)/2-$EX$6,$FA$4+IF(MID(CE68,1,1)="R",DC68,0)-($FE$4/2+$EX$6),"ERR")))),DM68)</f>
        <v>ERR</v>
      </c>
      <c r="DP68" s="889" t="str">
        <f t="shared" ref="DP68:DP85" si="155">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56">IF(DS68="ERR","ERR",IF(DS68="","",IF(CR68*TAN(DE68)&lt;=($FE$4-($FD$4-0.0625)),CM68-(DS68-ET68)/IF(OR(CL68="C",AND(CL68="M",$FG$1="N")),1,COS(DE68))-IF(MID(CN68,1,1)="R",0,DI68),(ABS(DS68-ET68)/IF(OR(CL68="C",AND(CL68="M",$FG$1="N")),1,COS(DE68))+CM68)-((CR68/2)*TAN(DE68))-IF(MID(CN68,1,1)="R",0,DI68))))</f>
        <v/>
      </c>
      <c r="DU68" s="1310" t="str">
        <f t="shared" ref="DU68:DU85" si="157">IF(DS68="ERR","ERR",IF(DS68="","",IF(CR68*TAN(DE68)&lt;=($FE$4-($FD$4-0.0625)),CM68-(DS68-ET68)/IF(OR(CL68="C",AND(CL68="M",$FG$1="N")),1,COS(DE68))-IF(MID(CN68,1,1)="R",0,DI68),(ABS(DS68-ET68)/IF(OR(CL68="C",AND(CL68="M",$FG$1="N")),1,COS(DE68))+CM68)+((CR68/2)*TAN(DE68))-IF(MID(CN68,1,1)="R",0,DI68))))</f>
        <v/>
      </c>
      <c r="DV68" s="889" t="str">
        <f t="shared" ref="DV68:DV85" si="158">IF(ISBLANK(CY28),IF(DT68&lt;$EX$6+($FD$4-0.0625)/2,"ERR",IF(DT68&lt;$EX$6+$FE$4/2,($FE$4/2+$EX$6),IF(DT68&lt;$FA$4+IF(MID(CN68,1,1)="R",DI68+CY28,0)-$FE$4/2-$EX$6,DT68,IF(DT68&lt;=$FA$4+IF(MID(CN68,1,1)="R",DI68,0)-($FD$4-0.0625)/2-$EX$6,$FA$4+IF(MID(CN68,1,1)="R",DI68,0)-($FE$4/2+$EX$6),"ERR")))),DT68)</f>
        <v>ERR</v>
      </c>
      <c r="DW68" s="889" t="str">
        <f t="shared" ref="DW68:DW85" si="159">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60">IF(CD28="","",$FC$4)</f>
        <v/>
      </c>
      <c r="EC68" s="877" t="str">
        <f>IF(AND(DR68="",DY68=""),"",IF(OR(CI68=EB68,CR68=EB68),EB68,CI68))</f>
        <v/>
      </c>
      <c r="ED68" s="876" t="str">
        <f t="shared" ref="ED68:ED85" si="161">IF(DA28="","",CEILING(($EZ$4/COS(CU68)+$FA$4/12*ABS(DA28)+0.5),0.125))</f>
        <v/>
      </c>
      <c r="EE68" s="876" t="str">
        <f t="shared" ref="EE68:EE85" si="162">(IF(CC68="B",MIN(CJ28:CK28),""))</f>
        <v/>
      </c>
      <c r="EF68" s="876" t="str">
        <f t="shared" ref="EF68:EF85" si="163">(IF(CC68="B",MAX(CJ28:CK28),""))</f>
        <v/>
      </c>
      <c r="EG68" s="876" t="str">
        <f t="shared" ref="EG68:EG85" si="164">IF(EE68="","",IF((EF68-EE68)/2&lt;=($FE$4-($FD$4-0.0625)),(EE68+EF68)/2,"ERR"))</f>
        <v/>
      </c>
      <c r="EH68" s="876" t="str">
        <f t="shared" ref="EH68:EH85" si="165">IF(CL68="B",MIN(CT28:CU28),"")</f>
        <v/>
      </c>
      <c r="EI68" s="876" t="str">
        <f t="shared" ref="EI68:EI85" si="166">IF(CL68="B",MAX(CT28:CU28),"")</f>
        <v/>
      </c>
      <c r="EJ68" s="876" t="str">
        <f t="shared" ref="EJ68:EJ85" si="167">IF(EH68="","",IF((EI68-EH68)/2&lt;=($FE$4-($FD$4-0.0625)),(EH68+EI68)/2,"ERR"))</f>
        <v/>
      </c>
      <c r="EK68" s="874">
        <f>IF(CK68="",0,ATAN(CK68/12))</f>
        <v>0</v>
      </c>
      <c r="EL68" s="874">
        <f>CU68-EK68</f>
        <v>0</v>
      </c>
      <c r="EM68" s="874">
        <f t="shared" ref="EM68:EM85" si="168">TAN(EL68)*12</f>
        <v>0</v>
      </c>
      <c r="EN68" s="874" t="str">
        <f t="shared" ref="EN68:EN85" si="169">IF(ABS(EM68)&lt;$FA$2,"",IF(EM68&gt;0,CEILING(EM68-0.0625,0.125),CEILING(EM68+0.0625,-0.125)))</f>
        <v/>
      </c>
      <c r="EO68" s="873" t="str">
        <f>IF(CF68="","",CF68*TAN(EK68))</f>
        <v/>
      </c>
      <c r="EP68" s="874">
        <f>IF(CT68="",0,ATAN(CT68/12))</f>
        <v>0</v>
      </c>
      <c r="EQ68" s="874">
        <f>CU68+EP68</f>
        <v>0</v>
      </c>
      <c r="ER68" s="874">
        <f t="shared" ref="ER68:ER85" si="170">TAN(EQ68)*-12</f>
        <v>0</v>
      </c>
      <c r="ES68" s="874" t="str">
        <f t="shared" ref="ES68:ES85" si="171">IF(ABS(ER68)&lt;$FA$2,"",IF(ER68&gt;0,CEILING(ER68-0.0625,0.125),CEILING(ER68+0.0625,-0.125)))</f>
        <v/>
      </c>
      <c r="ET68" s="873" t="str">
        <f>IF(CO68="","",CO68*TAN(EP68))</f>
        <v/>
      </c>
      <c r="EU68" s="873">
        <f t="shared" ref="EU68:EU85" si="172">IF((CE28*12+CF28)/COS(CU68)-(CE28*12+CF28)&lt;$FE$2,0,CU68)</f>
        <v>0</v>
      </c>
      <c r="EV68" s="876" t="e">
        <f t="shared" ref="EV68:EV85" si="173">MIN(IF(CH28&gt;0,CH28/2,MAX(CI28/2,CJ68)),IF(CI28&gt;0,CI28/2,MAX(CH28/2,CJ68)),IF(CJ68&gt;0,CJ68,MAX(CI28/2,CH28/2)))/COS(CY68)+CD68-DC68</f>
        <v>#VALUE!</v>
      </c>
      <c r="EW68" s="876" t="e">
        <f t="shared" ref="EW68:EW85" si="174">MIN(IF(CR28&gt;0,CR28/2,MAX(CS28/2,CS68)),IF(CS28&gt;0,CS28/2,MAX(CR28/2,CS68)),IF(CS68&gt;0,CS68,MAX(CS28/2,CR28/2)))/COS(DE68)+CM68-DI68</f>
        <v>#VALUE!</v>
      </c>
      <c r="EX68" s="942" t="str">
        <f t="shared" ref="EX68:EX85" si="175">IF(CD28="","",IF(EZ68&lt;1.2,5+$EX$4,IF(EZ68&lt;1.79,6+$EX$4,IF(EZ68&lt;2.3,7+$EX$4,IF(EZ68&lt;3.76,8+$EX$4,IF(EZ68&lt;4.76,10+$EY$4,IF(EZ68&lt;8.45,12+$EY$4,"ERR")))))))</f>
        <v/>
      </c>
      <c r="EY68" s="879" t="e">
        <f>TRUNC(IF(FA68&lt;1.03,25.667,IF(FA68&lt;1.2,29.667,IF(FA68&lt;1.79,33.583,IF(FA68&lt;2.3,37.75,IF(FA68&lt;3.76,42,IF(FA68&lt;4.76,50.167,IF(FA68&lt;8.45,58.167,"ERR"))))))))</f>
        <v>#VALUE!</v>
      </c>
      <c r="EZ68" s="959" t="e">
        <f t="shared" ref="EZ68:EZ85" si="176">(0.03*BP28*((CE28+CF28/12)/BO28)*(BO28^2-IF(ISEVEN(BO28),0,1)))/BM28</f>
        <v>#VALUE!</v>
      </c>
      <c r="FA68" s="960" t="e">
        <f t="shared" ref="FA68:FA85" si="177">(0.026*BP28*((CE28+CF28/12)/BO28)*(BO28^2-IF(ISEVEN(BO28),0,1)))/BM28</f>
        <v>#VALUE!</v>
      </c>
      <c r="FB68" s="880" t="str">
        <f t="shared" ref="FB68:FB85" si="178">IF(CG68="","",IF(ABS(DA28*((BM28-IF(DA28&gt;0,$FF$4,0))/12))&gt;$CX$2,DA28*((BM28-IF(DA28&gt;0,$FF$4,0))/12),0))</f>
        <v/>
      </c>
      <c r="FC68" s="881" t="str">
        <f t="shared" ref="FC68:FC85" si="179">IF(CP68="","",IF(ABS(DA28*((BM28-IF(DA28&lt;0,$FF$4,0))/12))&gt;$CX$2,DA28*((BM28-IF(DA28&lt;0,$FF$4,0))/12)*-1,0))</f>
        <v/>
      </c>
      <c r="FD68" s="512">
        <f t="shared" ref="FD68:FD85" si="180">IF(CF68="",0,MAX(0,DB68-$FA$4))</f>
        <v>0</v>
      </c>
      <c r="FE68" s="513">
        <f t="shared" ref="FE68:FE85" si="181">IF(CO68="",0,MAX(0,DH68-$FA$4))</f>
        <v>0</v>
      </c>
      <c r="FF68" s="754" t="b">
        <f t="shared" si="106"/>
        <v>0</v>
      </c>
      <c r="FG68" s="754" t="b">
        <f t="shared" si="107"/>
        <v>0</v>
      </c>
      <c r="FH68" s="754" t="b">
        <f t="shared" si="108"/>
        <v>0</v>
      </c>
      <c r="FI68" s="917" t="b">
        <f t="shared" si="109"/>
        <v>0</v>
      </c>
      <c r="FJ68" s="920" t="str">
        <f t="shared" si="119"/>
        <v/>
      </c>
      <c r="FK68" s="919" t="str">
        <f t="shared" si="120"/>
        <v/>
      </c>
      <c r="FL68" s="320" t="e">
        <f t="shared" si="121"/>
        <v>#N/A</v>
      </c>
      <c r="FM68" s="312" t="str">
        <f t="shared" si="110"/>
        <v/>
      </c>
      <c r="FN68" s="272" t="str">
        <f t="shared" ca="1" si="122"/>
        <v/>
      </c>
      <c r="FO68" s="273" t="str">
        <f t="shared" ca="1" si="123"/>
        <v/>
      </c>
      <c r="FP68" s="274" t="str">
        <f t="shared" ca="1" si="124"/>
        <v/>
      </c>
      <c r="FQ68" s="274" t="str">
        <f t="shared" ca="1" si="125"/>
        <v/>
      </c>
      <c r="FR68" s="321">
        <f t="shared" ca="1" si="126"/>
        <v>0</v>
      </c>
      <c r="FS68" s="322">
        <f t="shared" ca="1" si="127"/>
        <v>0</v>
      </c>
      <c r="FT68" s="272" t="str">
        <f t="shared" ca="1" si="132"/>
        <v/>
      </c>
      <c r="FU68" s="275" t="str">
        <f t="shared" ca="1" si="133"/>
        <v/>
      </c>
      <c r="FV68" s="323" t="str">
        <f t="shared" ca="1" si="134"/>
        <v/>
      </c>
      <c r="FW68" s="276" t="str">
        <f t="shared" ca="1" si="128"/>
        <v/>
      </c>
      <c r="FX68" s="276" t="str">
        <f t="shared" ca="1" si="129"/>
        <v/>
      </c>
      <c r="FY68" s="276" t="str">
        <f t="shared" ca="1" si="135"/>
        <v/>
      </c>
      <c r="FZ68" s="276" t="str">
        <f t="shared" ca="1" si="130"/>
        <v/>
      </c>
      <c r="GA68" s="276" t="str">
        <f t="shared" ca="1" si="136"/>
        <v/>
      </c>
      <c r="GB68" s="277" t="str">
        <f ca="1">IF(FY68="","",2+SUM(FO68:OFFSET(FO68,(FU68-1)*-1,0)))</f>
        <v/>
      </c>
      <c r="GC68" s="316" t="e">
        <f t="shared" si="131"/>
        <v>#N/A</v>
      </c>
      <c r="GD68" s="324" t="str">
        <f t="shared" si="111"/>
        <v/>
      </c>
      <c r="GE68" s="325" t="str">
        <f t="shared" si="112"/>
        <v/>
      </c>
      <c r="GF68" s="278" t="str">
        <f t="shared" si="113"/>
        <v/>
      </c>
      <c r="GG68" s="279" t="str">
        <f t="shared" si="114"/>
        <v/>
      </c>
      <c r="GH68" s="279" t="str">
        <f t="shared" si="115"/>
        <v/>
      </c>
      <c r="GI68" s="280" t="str">
        <f t="shared" si="116"/>
        <v/>
      </c>
      <c r="GJ68" s="326">
        <f t="shared" ca="1" si="117"/>
        <v>0</v>
      </c>
      <c r="GK68" s="913" t="str">
        <f t="shared" ca="1" si="118"/>
        <v/>
      </c>
    </row>
    <row r="69" spans="78:196" ht="12.6" hidden="1" customHeight="1" x14ac:dyDescent="0.2">
      <c r="BZ69" s="293"/>
      <c r="CA69" s="293"/>
      <c r="CB69" s="365" t="str">
        <f t="shared" si="137"/>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38"/>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39"/>
        <v>0</v>
      </c>
      <c r="CU69" s="369">
        <f t="shared" si="140"/>
        <v>0</v>
      </c>
      <c r="CV69" s="274" t="str">
        <f t="shared" si="141"/>
        <v/>
      </c>
      <c r="CW69" s="274" t="str">
        <f t="shared" si="142"/>
        <v/>
      </c>
      <c r="CX69" s="873" t="str">
        <f t="shared" si="143"/>
        <v/>
      </c>
      <c r="CY69" s="874">
        <f t="shared" si="144"/>
        <v>0</v>
      </c>
      <c r="CZ69" s="874">
        <f t="shared" si="145"/>
        <v>0</v>
      </c>
      <c r="DA69" s="874" t="str">
        <f t="shared" si="146"/>
        <v/>
      </c>
      <c r="DB69" s="1310" t="str">
        <f t="shared" ref="DB69:DB85" si="182">IF(CD69="","",CD69+DA69+($EY$4*TAN(CY69)))</f>
        <v/>
      </c>
      <c r="DC69" s="1310" t="str">
        <f t="shared" si="147"/>
        <v/>
      </c>
      <c r="DD69" s="1311">
        <f t="shared" ref="DD69:DD85" si="183">IF(CD69="",0,IF(DC69/COS(EU69)&lt;0.0625,0,CEILING(DC69/COS(EU69)-0.03125,0.125)))</f>
        <v>0</v>
      </c>
      <c r="DE69" s="1310">
        <f t="shared" si="148"/>
        <v>0</v>
      </c>
      <c r="DF69" s="1312">
        <f t="shared" si="149"/>
        <v>0</v>
      </c>
      <c r="DG69" s="1312" t="str">
        <f t="shared" si="150"/>
        <v/>
      </c>
      <c r="DH69" s="1310" t="str">
        <f t="shared" ref="DH69:DH85" si="184">IF(CM69="","",CM69+DG69+($EY$4*TAN(DE69)))</f>
        <v/>
      </c>
      <c r="DI69" s="1310" t="str">
        <f t="shared" si="151"/>
        <v/>
      </c>
      <c r="DJ69" s="1311">
        <f t="shared" ref="DJ69:DJ85" si="185">IF(CM69="",0,IF(DI69/COS(EU69)&lt;0.0625,0,CEILING(DI69/COS(EU69)-0.03125,0.125)))</f>
        <v>0</v>
      </c>
      <c r="DK69" s="1310" t="str">
        <f t="shared" ref="DK69:DK85" si="186">IF(CV69="","",CEILING(CV69-DD69-DJ69-0.0625,0.125))</f>
        <v/>
      </c>
      <c r="DL69" s="1310" t="str">
        <f t="shared" ref="DL69:DL85" si="187">IF(AND(EG69="",CH69=""),"",IF(EG69="ERR","ERR",IF(ISNUMBER(EG69),(EG69/2)*-1,CH69)))</f>
        <v/>
      </c>
      <c r="DM69" s="1310" t="str">
        <f t="shared" si="152"/>
        <v/>
      </c>
      <c r="DN69" s="1310" t="str">
        <f t="shared" si="153"/>
        <v/>
      </c>
      <c r="DO69" s="889" t="str">
        <f t="shared" si="154"/>
        <v>ERR</v>
      </c>
      <c r="DP69" s="889" t="str">
        <f t="shared" si="155"/>
        <v>ERR</v>
      </c>
      <c r="DQ69" s="1310" t="str">
        <f t="shared" ref="DQ69:DR85" si="188">IF(ISERROR(DM69),"ERR",IF(DM69="","",IF(DO69="ERR","ERR",CEILING(DO69-0.0625,0.125))))</f>
        <v/>
      </c>
      <c r="DR69" s="1310" t="str">
        <f t="shared" si="188"/>
        <v/>
      </c>
      <c r="DS69" s="1310" t="str">
        <f t="shared" ref="DS69:DS85" si="189">IF(AND(EJ69="",CQ69=""),"",IF(EJ69="ERR","ERR",IF(ISNUMBER(EJ69),(EJ69/2)*-1,CQ69)))</f>
        <v/>
      </c>
      <c r="DT69" s="1310" t="str">
        <f t="shared" si="156"/>
        <v/>
      </c>
      <c r="DU69" s="1310" t="str">
        <f t="shared" si="157"/>
        <v/>
      </c>
      <c r="DV69" s="889" t="str">
        <f t="shared" si="158"/>
        <v>ERR</v>
      </c>
      <c r="DW69" s="889" t="str">
        <f t="shared" si="159"/>
        <v>ERR</v>
      </c>
      <c r="DX69" s="873" t="str">
        <f t="shared" ref="DX69:DY85" si="190">IF(ISERROR(DT69),"ERR",IF(DT69="","",IF(DV69="ERR","ERR",CEILING(DV69-0.0625,0.125))))</f>
        <v/>
      </c>
      <c r="DY69" s="873" t="str">
        <f t="shared" si="190"/>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60"/>
        <v/>
      </c>
      <c r="EC69" s="877" t="str">
        <f t="shared" ref="EC69:EC85" si="191">IF(AND(DR69="",DY69=""),"",IF(OR(CI69=EB69,CR69=EB69),EB69,CI69))</f>
        <v/>
      </c>
      <c r="ED69" s="876" t="str">
        <f t="shared" si="161"/>
        <v/>
      </c>
      <c r="EE69" s="876" t="str">
        <f t="shared" si="162"/>
        <v/>
      </c>
      <c r="EF69" s="876" t="str">
        <f t="shared" si="163"/>
        <v/>
      </c>
      <c r="EG69" s="876" t="str">
        <f t="shared" si="164"/>
        <v/>
      </c>
      <c r="EH69" s="876" t="str">
        <f t="shared" si="165"/>
        <v/>
      </c>
      <c r="EI69" s="876" t="str">
        <f t="shared" si="166"/>
        <v/>
      </c>
      <c r="EJ69" s="876" t="str">
        <f t="shared" si="167"/>
        <v/>
      </c>
      <c r="EK69" s="874">
        <f t="shared" ref="EK69:EK85" si="192">IF(CK69="",0,ATAN(CK69/12))</f>
        <v>0</v>
      </c>
      <c r="EL69" s="874">
        <f t="shared" ref="EL69:EL85" si="193">CU69-EK69</f>
        <v>0</v>
      </c>
      <c r="EM69" s="874">
        <f t="shared" si="168"/>
        <v>0</v>
      </c>
      <c r="EN69" s="874" t="str">
        <f t="shared" si="169"/>
        <v/>
      </c>
      <c r="EO69" s="873" t="str">
        <f t="shared" ref="EO69:EO85" si="194">IF(CF69="","",CF69*TAN(EK69))</f>
        <v/>
      </c>
      <c r="EP69" s="874">
        <f t="shared" ref="EP69:EP85" si="195">IF(CT69="",0,ATAN(CT69/12))</f>
        <v>0</v>
      </c>
      <c r="EQ69" s="874">
        <f t="shared" ref="EQ69:EQ85" si="196">CU69+EP69</f>
        <v>0</v>
      </c>
      <c r="ER69" s="874">
        <f t="shared" si="170"/>
        <v>0</v>
      </c>
      <c r="ES69" s="874" t="str">
        <f t="shared" si="171"/>
        <v/>
      </c>
      <c r="ET69" s="873" t="str">
        <f t="shared" ref="ET69:ET85" si="197">IF(CO69="","",CO69*TAN(EP69))</f>
        <v/>
      </c>
      <c r="EU69" s="873">
        <f t="shared" si="172"/>
        <v>0</v>
      </c>
      <c r="EV69" s="876" t="e">
        <f t="shared" si="173"/>
        <v>#VALUE!</v>
      </c>
      <c r="EW69" s="876" t="e">
        <f t="shared" si="174"/>
        <v>#VALUE!</v>
      </c>
      <c r="EX69" s="942" t="str">
        <f t="shared" si="175"/>
        <v/>
      </c>
      <c r="EY69" s="879" t="e">
        <f t="shared" ref="EY69:EY85" si="198">TRUNC(IF(FA69&lt;1.03,25.667,IF(FA69&lt;1.2,29.667,IF(FA69&lt;1.79,33.583,IF(FA69&lt;2.3,37.75,IF(FA69&lt;3.76,42,IF(FA69&lt;4.76,50.167,IF(FA69&lt;8.45,58.167,"ERR"))))))))</f>
        <v>#VALUE!</v>
      </c>
      <c r="EZ69" s="959" t="e">
        <f t="shared" si="176"/>
        <v>#VALUE!</v>
      </c>
      <c r="FA69" s="960" t="e">
        <f t="shared" si="177"/>
        <v>#VALUE!</v>
      </c>
      <c r="FB69" s="880" t="str">
        <f t="shared" si="178"/>
        <v/>
      </c>
      <c r="FC69" s="881" t="str">
        <f t="shared" si="179"/>
        <v/>
      </c>
      <c r="FD69" s="512">
        <f t="shared" si="180"/>
        <v>0</v>
      </c>
      <c r="FE69" s="513">
        <f t="shared" si="181"/>
        <v>0</v>
      </c>
      <c r="FF69" s="754" t="b">
        <f t="shared" si="106"/>
        <v>0</v>
      </c>
      <c r="FG69" s="754" t="b">
        <f t="shared" si="107"/>
        <v>0</v>
      </c>
      <c r="FH69" s="754" t="b">
        <f t="shared" si="108"/>
        <v>0</v>
      </c>
      <c r="FI69" s="917" t="b">
        <f t="shared" si="109"/>
        <v>0</v>
      </c>
      <c r="FJ69" s="920" t="str">
        <f t="shared" si="119"/>
        <v/>
      </c>
      <c r="FK69" s="919" t="str">
        <f t="shared" si="120"/>
        <v/>
      </c>
      <c r="FL69" s="320" t="e">
        <f t="shared" si="121"/>
        <v>#N/A</v>
      </c>
      <c r="FM69" s="312" t="str">
        <f t="shared" si="110"/>
        <v/>
      </c>
      <c r="FN69" s="272" t="str">
        <f t="shared" ca="1" si="122"/>
        <v/>
      </c>
      <c r="FO69" s="273" t="str">
        <f t="shared" ca="1" si="123"/>
        <v/>
      </c>
      <c r="FP69" s="274" t="str">
        <f t="shared" ca="1" si="124"/>
        <v/>
      </c>
      <c r="FQ69" s="274" t="str">
        <f t="shared" ca="1" si="125"/>
        <v/>
      </c>
      <c r="FR69" s="321">
        <f t="shared" ca="1" si="126"/>
        <v>0</v>
      </c>
      <c r="FS69" s="322">
        <f t="shared" ca="1" si="127"/>
        <v>0</v>
      </c>
      <c r="FT69" s="272" t="str">
        <f t="shared" ca="1" si="132"/>
        <v/>
      </c>
      <c r="FU69" s="275" t="str">
        <f t="shared" ca="1" si="133"/>
        <v/>
      </c>
      <c r="FV69" s="323" t="str">
        <f t="shared" ca="1" si="134"/>
        <v/>
      </c>
      <c r="FW69" s="276" t="str">
        <f t="shared" ca="1" si="128"/>
        <v/>
      </c>
      <c r="FX69" s="276" t="str">
        <f t="shared" ca="1" si="129"/>
        <v/>
      </c>
      <c r="FY69" s="276" t="str">
        <f t="shared" ca="1" si="135"/>
        <v/>
      </c>
      <c r="FZ69" s="276" t="str">
        <f t="shared" ca="1" si="130"/>
        <v/>
      </c>
      <c r="GA69" s="276" t="str">
        <f t="shared" ca="1" si="136"/>
        <v/>
      </c>
      <c r="GB69" s="277" t="str">
        <f ca="1">IF(FY69="","",2+SUM(FO69:OFFSET(FO69,(FU69-1)*-1,0)))</f>
        <v/>
      </c>
      <c r="GC69" s="316" t="e">
        <f t="shared" si="131"/>
        <v>#N/A</v>
      </c>
      <c r="GD69" s="324" t="str">
        <f t="shared" si="111"/>
        <v/>
      </c>
      <c r="GE69" s="325" t="str">
        <f t="shared" si="112"/>
        <v/>
      </c>
      <c r="GF69" s="278" t="str">
        <f t="shared" si="113"/>
        <v/>
      </c>
      <c r="GG69" s="279" t="str">
        <f t="shared" si="114"/>
        <v/>
      </c>
      <c r="GH69" s="279" t="str">
        <f t="shared" si="115"/>
        <v/>
      </c>
      <c r="GI69" s="280" t="str">
        <f t="shared" si="116"/>
        <v/>
      </c>
      <c r="GJ69" s="326">
        <f t="shared" ca="1" si="117"/>
        <v>0</v>
      </c>
      <c r="GK69" s="913" t="str">
        <f t="shared" ca="1" si="118"/>
        <v/>
      </c>
    </row>
    <row r="70" spans="78:196" ht="12.6" hidden="1" customHeight="1" x14ac:dyDescent="0.2">
      <c r="BZ70" s="293"/>
      <c r="CA70" s="293"/>
      <c r="CB70" s="365" t="str">
        <f t="shared" si="137"/>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38"/>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39"/>
        <v>0</v>
      </c>
      <c r="CU70" s="369">
        <f t="shared" si="140"/>
        <v>0</v>
      </c>
      <c r="CV70" s="274" t="str">
        <f t="shared" si="141"/>
        <v/>
      </c>
      <c r="CW70" s="274" t="str">
        <f t="shared" si="142"/>
        <v/>
      </c>
      <c r="CX70" s="873" t="str">
        <f t="shared" si="143"/>
        <v/>
      </c>
      <c r="CY70" s="874">
        <f t="shared" si="144"/>
        <v>0</v>
      </c>
      <c r="CZ70" s="874">
        <f t="shared" si="145"/>
        <v>0</v>
      </c>
      <c r="DA70" s="874" t="str">
        <f t="shared" si="146"/>
        <v/>
      </c>
      <c r="DB70" s="1310" t="str">
        <f t="shared" si="182"/>
        <v/>
      </c>
      <c r="DC70" s="1310" t="str">
        <f t="shared" si="147"/>
        <v/>
      </c>
      <c r="DD70" s="1311">
        <f t="shared" si="183"/>
        <v>0</v>
      </c>
      <c r="DE70" s="1310">
        <f t="shared" si="148"/>
        <v>0</v>
      </c>
      <c r="DF70" s="1312">
        <f t="shared" si="149"/>
        <v>0</v>
      </c>
      <c r="DG70" s="1312" t="str">
        <f t="shared" si="150"/>
        <v/>
      </c>
      <c r="DH70" s="1310" t="str">
        <f t="shared" si="184"/>
        <v/>
      </c>
      <c r="DI70" s="1310" t="str">
        <f t="shared" si="151"/>
        <v/>
      </c>
      <c r="DJ70" s="1311">
        <f t="shared" si="185"/>
        <v>0</v>
      </c>
      <c r="DK70" s="1310" t="str">
        <f t="shared" si="186"/>
        <v/>
      </c>
      <c r="DL70" s="1310" t="str">
        <f t="shared" si="187"/>
        <v/>
      </c>
      <c r="DM70" s="1310" t="str">
        <f t="shared" si="152"/>
        <v/>
      </c>
      <c r="DN70" s="1310" t="str">
        <f t="shared" si="153"/>
        <v/>
      </c>
      <c r="DO70" s="889" t="str">
        <f t="shared" si="154"/>
        <v>ERR</v>
      </c>
      <c r="DP70" s="889" t="str">
        <f t="shared" si="155"/>
        <v>ERR</v>
      </c>
      <c r="DQ70" s="1310" t="str">
        <f t="shared" si="188"/>
        <v/>
      </c>
      <c r="DR70" s="1310" t="str">
        <f t="shared" si="188"/>
        <v/>
      </c>
      <c r="DS70" s="1310" t="str">
        <f t="shared" si="189"/>
        <v/>
      </c>
      <c r="DT70" s="1310" t="str">
        <f t="shared" si="156"/>
        <v/>
      </c>
      <c r="DU70" s="1310" t="str">
        <f t="shared" si="157"/>
        <v/>
      </c>
      <c r="DV70" s="889" t="str">
        <f t="shared" si="158"/>
        <v>ERR</v>
      </c>
      <c r="DW70" s="889" t="str">
        <f t="shared" si="159"/>
        <v>ERR</v>
      </c>
      <c r="DX70" s="873" t="str">
        <f t="shared" si="190"/>
        <v/>
      </c>
      <c r="DY70" s="873" t="str">
        <f t="shared" si="190"/>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60"/>
        <v/>
      </c>
      <c r="EC70" s="877" t="str">
        <f t="shared" si="191"/>
        <v/>
      </c>
      <c r="ED70" s="876" t="str">
        <f t="shared" si="161"/>
        <v/>
      </c>
      <c r="EE70" s="876" t="str">
        <f t="shared" si="162"/>
        <v/>
      </c>
      <c r="EF70" s="876" t="str">
        <f t="shared" si="163"/>
        <v/>
      </c>
      <c r="EG70" s="876" t="str">
        <f t="shared" si="164"/>
        <v/>
      </c>
      <c r="EH70" s="876" t="str">
        <f t="shared" si="165"/>
        <v/>
      </c>
      <c r="EI70" s="876" t="str">
        <f t="shared" si="166"/>
        <v/>
      </c>
      <c r="EJ70" s="876" t="str">
        <f t="shared" si="167"/>
        <v/>
      </c>
      <c r="EK70" s="874">
        <f>IF(CK70="",0,ATAN(CK70/12))</f>
        <v>0</v>
      </c>
      <c r="EL70" s="874">
        <f t="shared" si="193"/>
        <v>0</v>
      </c>
      <c r="EM70" s="874">
        <f t="shared" si="168"/>
        <v>0</v>
      </c>
      <c r="EN70" s="874" t="str">
        <f t="shared" si="169"/>
        <v/>
      </c>
      <c r="EO70" s="873" t="str">
        <f t="shared" si="194"/>
        <v/>
      </c>
      <c r="EP70" s="874">
        <f t="shared" si="195"/>
        <v>0</v>
      </c>
      <c r="EQ70" s="874">
        <f t="shared" si="196"/>
        <v>0</v>
      </c>
      <c r="ER70" s="874">
        <f t="shared" si="170"/>
        <v>0</v>
      </c>
      <c r="ES70" s="874" t="str">
        <f t="shared" si="171"/>
        <v/>
      </c>
      <c r="ET70" s="873" t="str">
        <f t="shared" si="197"/>
        <v/>
      </c>
      <c r="EU70" s="873">
        <f t="shared" si="172"/>
        <v>0</v>
      </c>
      <c r="EV70" s="876" t="e">
        <f t="shared" si="173"/>
        <v>#VALUE!</v>
      </c>
      <c r="EW70" s="876" t="e">
        <f t="shared" si="174"/>
        <v>#VALUE!</v>
      </c>
      <c r="EX70" s="942" t="str">
        <f t="shared" si="175"/>
        <v/>
      </c>
      <c r="EY70" s="879" t="e">
        <f t="shared" si="198"/>
        <v>#VALUE!</v>
      </c>
      <c r="EZ70" s="959" t="e">
        <f t="shared" si="176"/>
        <v>#VALUE!</v>
      </c>
      <c r="FA70" s="960" t="e">
        <f t="shared" si="177"/>
        <v>#VALUE!</v>
      </c>
      <c r="FB70" s="880" t="str">
        <f t="shared" si="178"/>
        <v/>
      </c>
      <c r="FC70" s="881" t="str">
        <f t="shared" si="179"/>
        <v/>
      </c>
      <c r="FD70" s="512">
        <f t="shared" si="180"/>
        <v>0</v>
      </c>
      <c r="FE70" s="513">
        <f t="shared" si="181"/>
        <v>0</v>
      </c>
      <c r="FF70" s="755" t="b">
        <f t="shared" si="106"/>
        <v>0</v>
      </c>
      <c r="FG70" s="755" t="b">
        <f t="shared" si="107"/>
        <v>0</v>
      </c>
      <c r="FH70" s="755" t="b">
        <f t="shared" si="108"/>
        <v>0</v>
      </c>
      <c r="FI70" s="918" t="b">
        <f t="shared" si="109"/>
        <v>0</v>
      </c>
      <c r="FJ70" s="920" t="str">
        <f t="shared" si="119"/>
        <v/>
      </c>
      <c r="FK70" s="919" t="str">
        <f t="shared" si="120"/>
        <v/>
      </c>
      <c r="FL70" s="320" t="e">
        <f t="shared" si="121"/>
        <v>#N/A</v>
      </c>
      <c r="FM70" s="312" t="str">
        <f t="shared" si="110"/>
        <v/>
      </c>
      <c r="FN70" s="272" t="str">
        <f t="shared" ca="1" si="122"/>
        <v/>
      </c>
      <c r="FO70" s="273" t="str">
        <f t="shared" ca="1" si="123"/>
        <v/>
      </c>
      <c r="FP70" s="274" t="str">
        <f t="shared" ca="1" si="124"/>
        <v/>
      </c>
      <c r="FQ70" s="274" t="str">
        <f t="shared" ca="1" si="125"/>
        <v/>
      </c>
      <c r="FR70" s="321">
        <f t="shared" ca="1" si="126"/>
        <v>0</v>
      </c>
      <c r="FS70" s="322">
        <f t="shared" ca="1" si="127"/>
        <v>0</v>
      </c>
      <c r="FT70" s="272" t="str">
        <f t="shared" ca="1" si="132"/>
        <v/>
      </c>
      <c r="FU70" s="275" t="str">
        <f t="shared" ca="1" si="133"/>
        <v/>
      </c>
      <c r="FV70" s="323" t="str">
        <f t="shared" ca="1" si="134"/>
        <v/>
      </c>
      <c r="FW70" s="276" t="str">
        <f t="shared" ca="1" si="128"/>
        <v/>
      </c>
      <c r="FX70" s="276" t="str">
        <f t="shared" ca="1" si="129"/>
        <v/>
      </c>
      <c r="FY70" s="276" t="str">
        <f t="shared" ca="1" si="135"/>
        <v/>
      </c>
      <c r="FZ70" s="276" t="str">
        <f t="shared" ca="1" si="130"/>
        <v/>
      </c>
      <c r="GA70" s="276" t="str">
        <f t="shared" ca="1" si="136"/>
        <v/>
      </c>
      <c r="GB70" s="277" t="str">
        <f ca="1">IF(FY70="","",2+SUM(FO70:OFFSET(FO70,(FU70-1)*-1,0)))</f>
        <v/>
      </c>
      <c r="GC70" s="316" t="e">
        <f t="shared" si="131"/>
        <v>#N/A</v>
      </c>
      <c r="GD70" s="324" t="str">
        <f>IF(ISBLANK(DT30),"",MAX(0,DT30+VLOOKUP(FK70,$CB$54:$CD$85,3,FALSE)))</f>
        <v/>
      </c>
      <c r="GE70" s="325" t="str">
        <f>IF(ISBLANK(DU30),"",MAX(0,DU30+VLOOKUP(FK70,$CB$54:$CM$85,12,FALSE)))</f>
        <v/>
      </c>
      <c r="GF70" s="278" t="str">
        <f t="shared" si="113"/>
        <v/>
      </c>
      <c r="GG70" s="279" t="str">
        <f t="shared" si="114"/>
        <v/>
      </c>
      <c r="GH70" s="279" t="str">
        <f t="shared" si="115"/>
        <v/>
      </c>
      <c r="GI70" s="280" t="str">
        <f t="shared" si="116"/>
        <v/>
      </c>
      <c r="GJ70" s="326">
        <f t="shared" ca="1" si="117"/>
        <v>0</v>
      </c>
      <c r="GK70" s="913" t="str">
        <f t="shared" ca="1" si="118"/>
        <v/>
      </c>
      <c r="GN70" s="1403" t="s">
        <v>1257</v>
      </c>
    </row>
    <row r="71" spans="78:196" ht="12.6" hidden="1" customHeight="1" x14ac:dyDescent="0.2">
      <c r="BZ71" s="293"/>
      <c r="CA71" s="293"/>
      <c r="CB71" s="365" t="str">
        <f t="shared" si="137"/>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38"/>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39"/>
        <v>0</v>
      </c>
      <c r="CU71" s="369">
        <f t="shared" si="140"/>
        <v>0</v>
      </c>
      <c r="CV71" s="274" t="str">
        <f t="shared" si="141"/>
        <v/>
      </c>
      <c r="CW71" s="274" t="str">
        <f t="shared" si="142"/>
        <v/>
      </c>
      <c r="CX71" s="873" t="str">
        <f t="shared" si="143"/>
        <v/>
      </c>
      <c r="CY71" s="874">
        <f t="shared" si="144"/>
        <v>0</v>
      </c>
      <c r="CZ71" s="874">
        <f t="shared" si="145"/>
        <v>0</v>
      </c>
      <c r="DA71" s="874" t="str">
        <f t="shared" si="146"/>
        <v/>
      </c>
      <c r="DB71" s="1310" t="str">
        <f t="shared" si="182"/>
        <v/>
      </c>
      <c r="DC71" s="1310" t="str">
        <f t="shared" si="147"/>
        <v/>
      </c>
      <c r="DD71" s="1311">
        <f t="shared" si="183"/>
        <v>0</v>
      </c>
      <c r="DE71" s="1310">
        <f t="shared" si="148"/>
        <v>0</v>
      </c>
      <c r="DF71" s="1312">
        <f t="shared" si="149"/>
        <v>0</v>
      </c>
      <c r="DG71" s="1312" t="str">
        <f t="shared" si="150"/>
        <v/>
      </c>
      <c r="DH71" s="1310" t="str">
        <f t="shared" si="184"/>
        <v/>
      </c>
      <c r="DI71" s="1310" t="str">
        <f t="shared" si="151"/>
        <v/>
      </c>
      <c r="DJ71" s="1311">
        <f t="shared" si="185"/>
        <v>0</v>
      </c>
      <c r="DK71" s="1310" t="str">
        <f t="shared" si="186"/>
        <v/>
      </c>
      <c r="DL71" s="1310" t="str">
        <f t="shared" si="187"/>
        <v/>
      </c>
      <c r="DM71" s="1310" t="str">
        <f t="shared" si="152"/>
        <v/>
      </c>
      <c r="DN71" s="1310" t="str">
        <f t="shared" si="153"/>
        <v/>
      </c>
      <c r="DO71" s="889" t="str">
        <f t="shared" si="154"/>
        <v>ERR</v>
      </c>
      <c r="DP71" s="889" t="str">
        <f t="shared" si="155"/>
        <v>ERR</v>
      </c>
      <c r="DQ71" s="1310" t="str">
        <f t="shared" si="188"/>
        <v/>
      </c>
      <c r="DR71" s="1310" t="str">
        <f t="shared" si="188"/>
        <v/>
      </c>
      <c r="DS71" s="1310" t="str">
        <f t="shared" si="189"/>
        <v/>
      </c>
      <c r="DT71" s="1310" t="str">
        <f t="shared" si="156"/>
        <v/>
      </c>
      <c r="DU71" s="1310" t="str">
        <f t="shared" si="157"/>
        <v/>
      </c>
      <c r="DV71" s="889" t="str">
        <f t="shared" si="158"/>
        <v>ERR</v>
      </c>
      <c r="DW71" s="889" t="str">
        <f t="shared" si="159"/>
        <v>ERR</v>
      </c>
      <c r="DX71" s="873" t="str">
        <f t="shared" si="190"/>
        <v/>
      </c>
      <c r="DY71" s="873" t="str">
        <f t="shared" si="190"/>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60"/>
        <v/>
      </c>
      <c r="EC71" s="877" t="str">
        <f t="shared" si="191"/>
        <v/>
      </c>
      <c r="ED71" s="876" t="str">
        <f t="shared" si="161"/>
        <v/>
      </c>
      <c r="EE71" s="876" t="str">
        <f t="shared" si="162"/>
        <v/>
      </c>
      <c r="EF71" s="876" t="str">
        <f t="shared" si="163"/>
        <v/>
      </c>
      <c r="EG71" s="876" t="str">
        <f t="shared" si="164"/>
        <v/>
      </c>
      <c r="EH71" s="876" t="str">
        <f t="shared" si="165"/>
        <v/>
      </c>
      <c r="EI71" s="876" t="str">
        <f t="shared" si="166"/>
        <v/>
      </c>
      <c r="EJ71" s="876" t="str">
        <f t="shared" si="167"/>
        <v/>
      </c>
      <c r="EK71" s="874">
        <f t="shared" si="192"/>
        <v>0</v>
      </c>
      <c r="EL71" s="874">
        <f t="shared" si="193"/>
        <v>0</v>
      </c>
      <c r="EM71" s="874">
        <f t="shared" si="168"/>
        <v>0</v>
      </c>
      <c r="EN71" s="874" t="str">
        <f t="shared" si="169"/>
        <v/>
      </c>
      <c r="EO71" s="873" t="str">
        <f t="shared" si="194"/>
        <v/>
      </c>
      <c r="EP71" s="874">
        <f t="shared" si="195"/>
        <v>0</v>
      </c>
      <c r="EQ71" s="874">
        <f t="shared" si="196"/>
        <v>0</v>
      </c>
      <c r="ER71" s="874">
        <f t="shared" si="170"/>
        <v>0</v>
      </c>
      <c r="ES71" s="874" t="str">
        <f t="shared" si="171"/>
        <v/>
      </c>
      <c r="ET71" s="873" t="str">
        <f t="shared" si="197"/>
        <v/>
      </c>
      <c r="EU71" s="873">
        <f t="shared" si="172"/>
        <v>0</v>
      </c>
      <c r="EV71" s="876" t="e">
        <f t="shared" si="173"/>
        <v>#VALUE!</v>
      </c>
      <c r="EW71" s="876" t="e">
        <f t="shared" si="174"/>
        <v>#VALUE!</v>
      </c>
      <c r="EX71" s="942" t="str">
        <f t="shared" si="175"/>
        <v/>
      </c>
      <c r="EY71" s="879" t="e">
        <f t="shared" si="198"/>
        <v>#VALUE!</v>
      </c>
      <c r="EZ71" s="959" t="e">
        <f t="shared" si="176"/>
        <v>#VALUE!</v>
      </c>
      <c r="FA71" s="960" t="e">
        <f t="shared" si="177"/>
        <v>#VALUE!</v>
      </c>
      <c r="FB71" s="880" t="str">
        <f t="shared" si="178"/>
        <v/>
      </c>
      <c r="FC71" s="881" t="str">
        <f t="shared" si="179"/>
        <v/>
      </c>
      <c r="FD71" s="512">
        <f t="shared" si="180"/>
        <v>0</v>
      </c>
      <c r="FE71" s="513">
        <f t="shared" si="181"/>
        <v>0</v>
      </c>
      <c r="FF71" s="755" t="b">
        <f t="shared" si="106"/>
        <v>0</v>
      </c>
      <c r="FG71" s="755" t="b">
        <f t="shared" si="107"/>
        <v>0</v>
      </c>
      <c r="FH71" s="755" t="b">
        <f t="shared" si="108"/>
        <v>0</v>
      </c>
      <c r="FI71" s="918" t="b">
        <f t="shared" si="109"/>
        <v>0</v>
      </c>
      <c r="FJ71" s="920" t="str">
        <f t="shared" si="119"/>
        <v/>
      </c>
      <c r="FK71" s="919" t="str">
        <f t="shared" si="120"/>
        <v/>
      </c>
      <c r="FL71" s="320" t="e">
        <f t="shared" si="121"/>
        <v>#N/A</v>
      </c>
      <c r="FM71" s="312" t="str">
        <f t="shared" si="110"/>
        <v/>
      </c>
      <c r="FN71" s="272" t="str">
        <f t="shared" ca="1" si="122"/>
        <v/>
      </c>
      <c r="FO71" s="273" t="str">
        <f t="shared" ca="1" si="123"/>
        <v/>
      </c>
      <c r="FP71" s="274" t="str">
        <f t="shared" ca="1" si="124"/>
        <v/>
      </c>
      <c r="FQ71" s="274" t="str">
        <f t="shared" ca="1" si="125"/>
        <v/>
      </c>
      <c r="FR71" s="321">
        <f t="shared" ca="1" si="126"/>
        <v>0</v>
      </c>
      <c r="FS71" s="322">
        <f t="shared" ca="1" si="127"/>
        <v>0</v>
      </c>
      <c r="FT71" s="272" t="str">
        <f t="shared" ca="1" si="132"/>
        <v/>
      </c>
      <c r="FU71" s="275" t="str">
        <f t="shared" ca="1" si="133"/>
        <v/>
      </c>
      <c r="FV71" s="323" t="str">
        <f t="shared" ca="1" si="134"/>
        <v/>
      </c>
      <c r="FW71" s="276" t="str">
        <f t="shared" ca="1" si="128"/>
        <v/>
      </c>
      <c r="FX71" s="276" t="str">
        <f t="shared" ca="1" si="129"/>
        <v/>
      </c>
      <c r="FY71" s="276" t="str">
        <f t="shared" ca="1" si="135"/>
        <v/>
      </c>
      <c r="FZ71" s="276" t="str">
        <f t="shared" ca="1" si="130"/>
        <v/>
      </c>
      <c r="GA71" s="276" t="str">
        <f t="shared" ca="1" si="136"/>
        <v/>
      </c>
      <c r="GB71" s="277" t="str">
        <f ca="1">IF(FY71="","",2+SUM(FO71:OFFSET(FO71,(FU71-1)*-1,0)))</f>
        <v/>
      </c>
      <c r="GC71" s="316" t="e">
        <f t="shared" si="131"/>
        <v>#N/A</v>
      </c>
      <c r="GD71" s="324" t="str">
        <f t="shared" si="111"/>
        <v/>
      </c>
      <c r="GE71" s="325" t="str">
        <f t="shared" si="112"/>
        <v/>
      </c>
      <c r="GF71" s="278" t="str">
        <f t="shared" si="113"/>
        <v/>
      </c>
      <c r="GG71" s="279" t="str">
        <f t="shared" si="114"/>
        <v/>
      </c>
      <c r="GH71" s="279" t="str">
        <f t="shared" si="115"/>
        <v/>
      </c>
      <c r="GI71" s="280" t="str">
        <f t="shared" si="116"/>
        <v/>
      </c>
      <c r="GJ71" s="326">
        <f t="shared" ca="1" si="117"/>
        <v>0</v>
      </c>
      <c r="GK71" s="913" t="str">
        <f t="shared" ca="1" si="118"/>
        <v/>
      </c>
    </row>
    <row r="72" spans="78:196" ht="12.6" hidden="1" customHeight="1" x14ac:dyDescent="0.2">
      <c r="BZ72" s="293"/>
      <c r="CA72" s="293"/>
      <c r="CB72" s="365" t="str">
        <f t="shared" si="137"/>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38"/>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39"/>
        <v>0</v>
      </c>
      <c r="CU72" s="369">
        <f t="shared" si="140"/>
        <v>0</v>
      </c>
      <c r="CV72" s="274" t="str">
        <f t="shared" si="141"/>
        <v/>
      </c>
      <c r="CW72" s="274" t="str">
        <f t="shared" si="142"/>
        <v/>
      </c>
      <c r="CX72" s="873" t="str">
        <f t="shared" si="143"/>
        <v/>
      </c>
      <c r="CY72" s="874">
        <f t="shared" si="144"/>
        <v>0</v>
      </c>
      <c r="CZ72" s="874">
        <f t="shared" si="145"/>
        <v>0</v>
      </c>
      <c r="DA72" s="874" t="str">
        <f t="shared" si="146"/>
        <v/>
      </c>
      <c r="DB72" s="1310" t="str">
        <f t="shared" si="182"/>
        <v/>
      </c>
      <c r="DC72" s="1310" t="str">
        <f t="shared" si="147"/>
        <v/>
      </c>
      <c r="DD72" s="1311">
        <f t="shared" si="183"/>
        <v>0</v>
      </c>
      <c r="DE72" s="1310">
        <f t="shared" si="148"/>
        <v>0</v>
      </c>
      <c r="DF72" s="1312">
        <f t="shared" si="149"/>
        <v>0</v>
      </c>
      <c r="DG72" s="1312" t="str">
        <f t="shared" si="150"/>
        <v/>
      </c>
      <c r="DH72" s="1310" t="str">
        <f t="shared" si="184"/>
        <v/>
      </c>
      <c r="DI72" s="1310" t="str">
        <f t="shared" si="151"/>
        <v/>
      </c>
      <c r="DJ72" s="1311">
        <f t="shared" si="185"/>
        <v>0</v>
      </c>
      <c r="DK72" s="1310" t="str">
        <f t="shared" si="186"/>
        <v/>
      </c>
      <c r="DL72" s="1310" t="str">
        <f t="shared" si="187"/>
        <v/>
      </c>
      <c r="DM72" s="1310" t="str">
        <f t="shared" si="152"/>
        <v/>
      </c>
      <c r="DN72" s="1310" t="str">
        <f t="shared" si="153"/>
        <v/>
      </c>
      <c r="DO72" s="889" t="str">
        <f t="shared" si="154"/>
        <v>ERR</v>
      </c>
      <c r="DP72" s="889" t="str">
        <f t="shared" si="155"/>
        <v>ERR</v>
      </c>
      <c r="DQ72" s="1310" t="str">
        <f t="shared" si="188"/>
        <v/>
      </c>
      <c r="DR72" s="1310" t="str">
        <f t="shared" si="188"/>
        <v/>
      </c>
      <c r="DS72" s="1310" t="str">
        <f t="shared" si="189"/>
        <v/>
      </c>
      <c r="DT72" s="1310" t="str">
        <f t="shared" si="156"/>
        <v/>
      </c>
      <c r="DU72" s="1310" t="str">
        <f t="shared" si="157"/>
        <v/>
      </c>
      <c r="DV72" s="889" t="str">
        <f t="shared" si="158"/>
        <v>ERR</v>
      </c>
      <c r="DW72" s="889" t="str">
        <f t="shared" si="159"/>
        <v>ERR</v>
      </c>
      <c r="DX72" s="873" t="str">
        <f t="shared" si="190"/>
        <v/>
      </c>
      <c r="DY72" s="873" t="str">
        <f t="shared" si="190"/>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60"/>
        <v/>
      </c>
      <c r="EC72" s="877" t="str">
        <f t="shared" si="191"/>
        <v/>
      </c>
      <c r="ED72" s="876" t="str">
        <f t="shared" si="161"/>
        <v/>
      </c>
      <c r="EE72" s="876" t="str">
        <f t="shared" si="162"/>
        <v/>
      </c>
      <c r="EF72" s="876" t="str">
        <f t="shared" si="163"/>
        <v/>
      </c>
      <c r="EG72" s="876" t="str">
        <f t="shared" si="164"/>
        <v/>
      </c>
      <c r="EH72" s="876" t="str">
        <f t="shared" si="165"/>
        <v/>
      </c>
      <c r="EI72" s="876" t="str">
        <f t="shared" si="166"/>
        <v/>
      </c>
      <c r="EJ72" s="876" t="str">
        <f t="shared" si="167"/>
        <v/>
      </c>
      <c r="EK72" s="874">
        <f t="shared" si="192"/>
        <v>0</v>
      </c>
      <c r="EL72" s="874">
        <f t="shared" si="193"/>
        <v>0</v>
      </c>
      <c r="EM72" s="874">
        <f t="shared" si="168"/>
        <v>0</v>
      </c>
      <c r="EN72" s="874" t="str">
        <f t="shared" si="169"/>
        <v/>
      </c>
      <c r="EO72" s="873" t="str">
        <f t="shared" si="194"/>
        <v/>
      </c>
      <c r="EP72" s="874">
        <f t="shared" si="195"/>
        <v>0</v>
      </c>
      <c r="EQ72" s="874">
        <f t="shared" si="196"/>
        <v>0</v>
      </c>
      <c r="ER72" s="874">
        <f t="shared" si="170"/>
        <v>0</v>
      </c>
      <c r="ES72" s="874" t="str">
        <f t="shared" si="171"/>
        <v/>
      </c>
      <c r="ET72" s="873" t="str">
        <f t="shared" si="197"/>
        <v/>
      </c>
      <c r="EU72" s="873">
        <f t="shared" si="172"/>
        <v>0</v>
      </c>
      <c r="EV72" s="876" t="e">
        <f t="shared" si="173"/>
        <v>#VALUE!</v>
      </c>
      <c r="EW72" s="876" t="e">
        <f t="shared" si="174"/>
        <v>#VALUE!</v>
      </c>
      <c r="EX72" s="942" t="str">
        <f t="shared" si="175"/>
        <v/>
      </c>
      <c r="EY72" s="879" t="e">
        <f t="shared" si="198"/>
        <v>#VALUE!</v>
      </c>
      <c r="EZ72" s="959" t="e">
        <f t="shared" si="176"/>
        <v>#VALUE!</v>
      </c>
      <c r="FA72" s="960" t="e">
        <f t="shared" si="177"/>
        <v>#VALUE!</v>
      </c>
      <c r="FB72" s="880" t="str">
        <f t="shared" si="178"/>
        <v/>
      </c>
      <c r="FC72" s="881" t="str">
        <f t="shared" si="179"/>
        <v/>
      </c>
      <c r="FD72" s="512">
        <f t="shared" si="180"/>
        <v>0</v>
      </c>
      <c r="FE72" s="513">
        <f t="shared" si="181"/>
        <v>0</v>
      </c>
      <c r="FF72" s="754" t="b">
        <f t="shared" si="106"/>
        <v>0</v>
      </c>
      <c r="FG72" s="754" t="b">
        <f t="shared" si="107"/>
        <v>0</v>
      </c>
      <c r="FH72" s="754" t="b">
        <f t="shared" si="108"/>
        <v>0</v>
      </c>
      <c r="FI72" s="917" t="b">
        <f t="shared" si="109"/>
        <v>0</v>
      </c>
      <c r="FJ72" s="920" t="str">
        <f t="shared" si="119"/>
        <v/>
      </c>
      <c r="FK72" s="919" t="str">
        <f t="shared" si="120"/>
        <v/>
      </c>
      <c r="FL72" s="320" t="e">
        <f t="shared" si="121"/>
        <v>#N/A</v>
      </c>
      <c r="FM72" s="312" t="str">
        <f t="shared" si="110"/>
        <v/>
      </c>
      <c r="FN72" s="272" t="str">
        <f t="shared" ca="1" si="122"/>
        <v/>
      </c>
      <c r="FO72" s="273" t="str">
        <f t="shared" ca="1" si="123"/>
        <v/>
      </c>
      <c r="FP72" s="274" t="str">
        <f t="shared" ca="1" si="124"/>
        <v/>
      </c>
      <c r="FQ72" s="274" t="str">
        <f t="shared" ca="1" si="125"/>
        <v/>
      </c>
      <c r="FR72" s="321">
        <f t="shared" ca="1" si="126"/>
        <v>0</v>
      </c>
      <c r="FS72" s="322">
        <f t="shared" ca="1" si="127"/>
        <v>0</v>
      </c>
      <c r="FT72" s="272" t="str">
        <f t="shared" ca="1" si="132"/>
        <v/>
      </c>
      <c r="FU72" s="275" t="str">
        <f t="shared" ca="1" si="133"/>
        <v/>
      </c>
      <c r="FV72" s="323" t="str">
        <f t="shared" ca="1" si="134"/>
        <v/>
      </c>
      <c r="FW72" s="276" t="str">
        <f t="shared" ca="1" si="128"/>
        <v/>
      </c>
      <c r="FX72" s="276" t="str">
        <f t="shared" ca="1" si="129"/>
        <v/>
      </c>
      <c r="FY72" s="276" t="str">
        <f t="shared" ca="1" si="135"/>
        <v/>
      </c>
      <c r="FZ72" s="276" t="str">
        <f t="shared" ca="1" si="130"/>
        <v/>
      </c>
      <c r="GA72" s="276" t="str">
        <f t="shared" ca="1" si="136"/>
        <v/>
      </c>
      <c r="GB72" s="277" t="str">
        <f ca="1">IF(FY72="","",2+SUM(FO72:OFFSET(FO72,(FU72-1)*-1,0)))</f>
        <v/>
      </c>
      <c r="GC72" s="316" t="e">
        <f t="shared" si="131"/>
        <v>#N/A</v>
      </c>
      <c r="GD72" s="324" t="str">
        <f t="shared" si="111"/>
        <v/>
      </c>
      <c r="GE72" s="325" t="str">
        <f t="shared" si="112"/>
        <v/>
      </c>
      <c r="GF72" s="278" t="str">
        <f t="shared" si="113"/>
        <v/>
      </c>
      <c r="GG72" s="279" t="str">
        <f t="shared" si="114"/>
        <v/>
      </c>
      <c r="GH72" s="279" t="str">
        <f t="shared" si="115"/>
        <v/>
      </c>
      <c r="GI72" s="280" t="str">
        <f t="shared" si="116"/>
        <v/>
      </c>
      <c r="GJ72" s="326">
        <f t="shared" ca="1" si="117"/>
        <v>0</v>
      </c>
      <c r="GK72" s="913" t="str">
        <f t="shared" ca="1" si="118"/>
        <v/>
      </c>
    </row>
    <row r="73" spans="78:196" ht="12.6" hidden="1" customHeight="1" x14ac:dyDescent="0.2">
      <c r="BZ73" s="293"/>
      <c r="CA73" s="293"/>
      <c r="CB73" s="365" t="str">
        <f t="shared" si="137"/>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38"/>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39"/>
        <v>0</v>
      </c>
      <c r="CU73" s="369">
        <f t="shared" si="140"/>
        <v>0</v>
      </c>
      <c r="CV73" s="274" t="str">
        <f t="shared" si="141"/>
        <v/>
      </c>
      <c r="CW73" s="274" t="str">
        <f t="shared" si="142"/>
        <v/>
      </c>
      <c r="CX73" s="873" t="str">
        <f t="shared" si="143"/>
        <v/>
      </c>
      <c r="CY73" s="874">
        <f t="shared" si="144"/>
        <v>0</v>
      </c>
      <c r="CZ73" s="874">
        <f t="shared" si="145"/>
        <v>0</v>
      </c>
      <c r="DA73" s="874" t="str">
        <f t="shared" si="146"/>
        <v/>
      </c>
      <c r="DB73" s="1310" t="str">
        <f t="shared" si="182"/>
        <v/>
      </c>
      <c r="DC73" s="1310" t="str">
        <f t="shared" si="147"/>
        <v/>
      </c>
      <c r="DD73" s="1311">
        <f t="shared" si="183"/>
        <v>0</v>
      </c>
      <c r="DE73" s="1310">
        <f t="shared" si="148"/>
        <v>0</v>
      </c>
      <c r="DF73" s="1312">
        <f t="shared" si="149"/>
        <v>0</v>
      </c>
      <c r="DG73" s="1312" t="str">
        <f t="shared" si="150"/>
        <v/>
      </c>
      <c r="DH73" s="1310" t="str">
        <f t="shared" si="184"/>
        <v/>
      </c>
      <c r="DI73" s="1310" t="str">
        <f t="shared" si="151"/>
        <v/>
      </c>
      <c r="DJ73" s="1311">
        <f t="shared" si="185"/>
        <v>0</v>
      </c>
      <c r="DK73" s="1310" t="str">
        <f t="shared" si="186"/>
        <v/>
      </c>
      <c r="DL73" s="1310" t="str">
        <f t="shared" si="187"/>
        <v/>
      </c>
      <c r="DM73" s="1310" t="str">
        <f t="shared" si="152"/>
        <v/>
      </c>
      <c r="DN73" s="1310" t="str">
        <f t="shared" si="153"/>
        <v/>
      </c>
      <c r="DO73" s="889" t="str">
        <f t="shared" si="154"/>
        <v>ERR</v>
      </c>
      <c r="DP73" s="889" t="str">
        <f t="shared" si="155"/>
        <v>ERR</v>
      </c>
      <c r="DQ73" s="1310" t="str">
        <f t="shared" si="188"/>
        <v/>
      </c>
      <c r="DR73" s="1310" t="str">
        <f t="shared" si="188"/>
        <v/>
      </c>
      <c r="DS73" s="1310" t="str">
        <f t="shared" si="189"/>
        <v/>
      </c>
      <c r="DT73" s="1310" t="str">
        <f t="shared" si="156"/>
        <v/>
      </c>
      <c r="DU73" s="1310" t="str">
        <f t="shared" si="157"/>
        <v/>
      </c>
      <c r="DV73" s="889" t="str">
        <f t="shared" si="158"/>
        <v>ERR</v>
      </c>
      <c r="DW73" s="889" t="str">
        <f t="shared" si="159"/>
        <v>ERR</v>
      </c>
      <c r="DX73" s="873" t="str">
        <f t="shared" si="190"/>
        <v/>
      </c>
      <c r="DY73" s="873" t="str">
        <f t="shared" si="190"/>
        <v/>
      </c>
      <c r="DZ73" s="873" t="str">
        <f t="shared" ref="DZ73:DZ85" si="199">IF(CG73="","",IF((CD73-CG73)/COS(CU73)-FB73&lt;=-0.0625,CEILING((CD73-CG73)/COS(CU73)-FB73+0.0625,-0.125),IF((CD73-CG73)/COS(CU73)-FB73&gt;=0.0625,CEILING((CD73-CG73)/COS(CU73)-FB73-0.0625,0.125),0)))</f>
        <v/>
      </c>
      <c r="EA73" s="873" t="str">
        <f t="shared" ref="EA73:EA85" si="200">IF(CP73="","",IF((CM73-CP73)/COS(CU73)-FC73&lt;=-0.0625,CEILING((CM73-CP73)/COS(CU73)-FC73+0.0625,-0.125),IF((CM73-CP73)/COS(CU73)-FC73&gt;=0.0625,CEILING((CM73-CP73)/COS(CU73)-FC73-0.0625,0.125),0)))</f>
        <v/>
      </c>
      <c r="EB73" s="876" t="str">
        <f t="shared" si="160"/>
        <v/>
      </c>
      <c r="EC73" s="877" t="str">
        <f t="shared" si="191"/>
        <v/>
      </c>
      <c r="ED73" s="876" t="str">
        <f t="shared" si="161"/>
        <v/>
      </c>
      <c r="EE73" s="876" t="str">
        <f t="shared" si="162"/>
        <v/>
      </c>
      <c r="EF73" s="876" t="str">
        <f t="shared" si="163"/>
        <v/>
      </c>
      <c r="EG73" s="876" t="str">
        <f t="shared" si="164"/>
        <v/>
      </c>
      <c r="EH73" s="876" t="str">
        <f t="shared" si="165"/>
        <v/>
      </c>
      <c r="EI73" s="876" t="str">
        <f t="shared" si="166"/>
        <v/>
      </c>
      <c r="EJ73" s="876" t="str">
        <f t="shared" si="167"/>
        <v/>
      </c>
      <c r="EK73" s="874">
        <f t="shared" si="192"/>
        <v>0</v>
      </c>
      <c r="EL73" s="874">
        <f t="shared" si="193"/>
        <v>0</v>
      </c>
      <c r="EM73" s="874">
        <f t="shared" si="168"/>
        <v>0</v>
      </c>
      <c r="EN73" s="874" t="str">
        <f t="shared" si="169"/>
        <v/>
      </c>
      <c r="EO73" s="873" t="str">
        <f t="shared" si="194"/>
        <v/>
      </c>
      <c r="EP73" s="874">
        <f t="shared" si="195"/>
        <v>0</v>
      </c>
      <c r="EQ73" s="874">
        <f t="shared" si="196"/>
        <v>0</v>
      </c>
      <c r="ER73" s="874">
        <f t="shared" si="170"/>
        <v>0</v>
      </c>
      <c r="ES73" s="874" t="str">
        <f t="shared" si="171"/>
        <v/>
      </c>
      <c r="ET73" s="873" t="str">
        <f t="shared" si="197"/>
        <v/>
      </c>
      <c r="EU73" s="873">
        <f t="shared" si="172"/>
        <v>0</v>
      </c>
      <c r="EV73" s="876" t="e">
        <f t="shared" si="173"/>
        <v>#VALUE!</v>
      </c>
      <c r="EW73" s="876" t="e">
        <f t="shared" si="174"/>
        <v>#VALUE!</v>
      </c>
      <c r="EX73" s="942" t="str">
        <f t="shared" si="175"/>
        <v/>
      </c>
      <c r="EY73" s="879" t="e">
        <f t="shared" si="198"/>
        <v>#VALUE!</v>
      </c>
      <c r="EZ73" s="959" t="e">
        <f t="shared" si="176"/>
        <v>#VALUE!</v>
      </c>
      <c r="FA73" s="960" t="e">
        <f t="shared" si="177"/>
        <v>#VALUE!</v>
      </c>
      <c r="FB73" s="880" t="str">
        <f t="shared" si="178"/>
        <v/>
      </c>
      <c r="FC73" s="881" t="str">
        <f t="shared" si="179"/>
        <v/>
      </c>
      <c r="FD73" s="527">
        <f t="shared" si="180"/>
        <v>0</v>
      </c>
      <c r="FE73" s="528">
        <f t="shared" si="181"/>
        <v>0</v>
      </c>
      <c r="FF73" s="754" t="b">
        <f t="shared" si="106"/>
        <v>0</v>
      </c>
      <c r="FG73" s="754" t="b">
        <f t="shared" si="107"/>
        <v>0</v>
      </c>
      <c r="FH73" s="754" t="b">
        <f t="shared" si="108"/>
        <v>0</v>
      </c>
      <c r="FI73" s="917" t="b">
        <f t="shared" si="109"/>
        <v>0</v>
      </c>
      <c r="FJ73" s="920" t="str">
        <f t="shared" si="119"/>
        <v/>
      </c>
      <c r="FK73" s="919" t="str">
        <f t="shared" si="120"/>
        <v/>
      </c>
      <c r="FL73" s="320" t="e">
        <f t="shared" si="121"/>
        <v>#N/A</v>
      </c>
      <c r="FM73" s="312" t="str">
        <f t="shared" si="110"/>
        <v/>
      </c>
      <c r="FN73" s="272" t="str">
        <f t="shared" ca="1" si="122"/>
        <v/>
      </c>
      <c r="FO73" s="273" t="str">
        <f t="shared" ca="1" si="123"/>
        <v/>
      </c>
      <c r="FP73" s="274" t="str">
        <f t="shared" ca="1" si="124"/>
        <v/>
      </c>
      <c r="FQ73" s="274" t="str">
        <f t="shared" ca="1" si="125"/>
        <v/>
      </c>
      <c r="FR73" s="321">
        <f t="shared" ca="1" si="126"/>
        <v>0</v>
      </c>
      <c r="FS73" s="322">
        <f t="shared" ca="1" si="127"/>
        <v>0</v>
      </c>
      <c r="FT73" s="272" t="str">
        <f t="shared" ca="1" si="132"/>
        <v/>
      </c>
      <c r="FU73" s="275" t="str">
        <f t="shared" ca="1" si="133"/>
        <v/>
      </c>
      <c r="FV73" s="323" t="str">
        <f t="shared" ca="1" si="134"/>
        <v/>
      </c>
      <c r="FW73" s="276" t="str">
        <f t="shared" ca="1" si="128"/>
        <v/>
      </c>
      <c r="FX73" s="276" t="str">
        <f t="shared" ca="1" si="129"/>
        <v/>
      </c>
      <c r="FY73" s="276" t="str">
        <f t="shared" ca="1" si="135"/>
        <v/>
      </c>
      <c r="FZ73" s="276" t="str">
        <f t="shared" ca="1" si="130"/>
        <v/>
      </c>
      <c r="GA73" s="276" t="str">
        <f t="shared" ca="1" si="136"/>
        <v/>
      </c>
      <c r="GB73" s="277" t="str">
        <f ca="1">IF(FY73="","",2+SUM(FO73:OFFSET(FO73,(FU73-1)*-1,0)))</f>
        <v/>
      </c>
      <c r="GC73" s="316" t="e">
        <f t="shared" si="131"/>
        <v>#N/A</v>
      </c>
      <c r="GD73" s="324" t="str">
        <f t="shared" si="111"/>
        <v/>
      </c>
      <c r="GE73" s="325" t="str">
        <f t="shared" si="112"/>
        <v/>
      </c>
      <c r="GF73" s="278" t="str">
        <f t="shared" si="113"/>
        <v/>
      </c>
      <c r="GG73" s="279" t="str">
        <f t="shared" si="114"/>
        <v/>
      </c>
      <c r="GH73" s="279" t="str">
        <f t="shared" si="115"/>
        <v/>
      </c>
      <c r="GI73" s="280" t="str">
        <f t="shared" si="116"/>
        <v/>
      </c>
      <c r="GJ73" s="326">
        <f t="shared" ca="1" si="117"/>
        <v>0</v>
      </c>
      <c r="GK73" s="913" t="str">
        <f t="shared" ca="1" si="118"/>
        <v/>
      </c>
    </row>
    <row r="74" spans="78:196" ht="12.6" hidden="1" customHeight="1" x14ac:dyDescent="0.2">
      <c r="BZ74" s="293"/>
      <c r="CA74" s="293"/>
      <c r="CB74" s="365" t="str">
        <f t="shared" si="137"/>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38"/>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39"/>
        <v>0</v>
      </c>
      <c r="CU74" s="369">
        <f t="shared" si="140"/>
        <v>0</v>
      </c>
      <c r="CV74" s="274" t="str">
        <f t="shared" si="141"/>
        <v/>
      </c>
      <c r="CW74" s="274" t="str">
        <f t="shared" si="142"/>
        <v/>
      </c>
      <c r="CX74" s="873" t="str">
        <f t="shared" si="143"/>
        <v/>
      </c>
      <c r="CY74" s="874">
        <f t="shared" si="144"/>
        <v>0</v>
      </c>
      <c r="CZ74" s="874">
        <f t="shared" si="145"/>
        <v>0</v>
      </c>
      <c r="DA74" s="874" t="str">
        <f t="shared" si="146"/>
        <v/>
      </c>
      <c r="DB74" s="1310" t="str">
        <f t="shared" si="182"/>
        <v/>
      </c>
      <c r="DC74" s="1310" t="str">
        <f t="shared" si="147"/>
        <v/>
      </c>
      <c r="DD74" s="1311">
        <f t="shared" si="183"/>
        <v>0</v>
      </c>
      <c r="DE74" s="1310">
        <f t="shared" si="148"/>
        <v>0</v>
      </c>
      <c r="DF74" s="1312">
        <f t="shared" si="149"/>
        <v>0</v>
      </c>
      <c r="DG74" s="1312" t="str">
        <f t="shared" si="150"/>
        <v/>
      </c>
      <c r="DH74" s="1310" t="str">
        <f t="shared" si="184"/>
        <v/>
      </c>
      <c r="DI74" s="1310" t="str">
        <f t="shared" si="151"/>
        <v/>
      </c>
      <c r="DJ74" s="1311">
        <f t="shared" si="185"/>
        <v>0</v>
      </c>
      <c r="DK74" s="1310" t="str">
        <f t="shared" si="186"/>
        <v/>
      </c>
      <c r="DL74" s="1310" t="str">
        <f t="shared" si="187"/>
        <v/>
      </c>
      <c r="DM74" s="1310" t="str">
        <f t="shared" si="152"/>
        <v/>
      </c>
      <c r="DN74" s="1310" t="str">
        <f t="shared" si="153"/>
        <v/>
      </c>
      <c r="DO74" s="889" t="str">
        <f t="shared" si="154"/>
        <v>ERR</v>
      </c>
      <c r="DP74" s="889" t="str">
        <f t="shared" si="155"/>
        <v>ERR</v>
      </c>
      <c r="DQ74" s="1310" t="str">
        <f t="shared" si="188"/>
        <v/>
      </c>
      <c r="DR74" s="1310" t="str">
        <f t="shared" si="188"/>
        <v/>
      </c>
      <c r="DS74" s="1310" t="str">
        <f t="shared" si="189"/>
        <v/>
      </c>
      <c r="DT74" s="1310" t="str">
        <f t="shared" si="156"/>
        <v/>
      </c>
      <c r="DU74" s="1310" t="str">
        <f t="shared" si="157"/>
        <v/>
      </c>
      <c r="DV74" s="889" t="str">
        <f t="shared" si="158"/>
        <v>ERR</v>
      </c>
      <c r="DW74" s="889" t="str">
        <f t="shared" si="159"/>
        <v>ERR</v>
      </c>
      <c r="DX74" s="873" t="str">
        <f t="shared" si="190"/>
        <v/>
      </c>
      <c r="DY74" s="873" t="str">
        <f t="shared" si="190"/>
        <v/>
      </c>
      <c r="DZ74" s="873" t="str">
        <f t="shared" si="199"/>
        <v/>
      </c>
      <c r="EA74" s="873" t="str">
        <f t="shared" si="200"/>
        <v/>
      </c>
      <c r="EB74" s="876" t="str">
        <f t="shared" si="160"/>
        <v/>
      </c>
      <c r="EC74" s="877" t="str">
        <f t="shared" si="191"/>
        <v/>
      </c>
      <c r="ED74" s="876" t="str">
        <f t="shared" si="161"/>
        <v/>
      </c>
      <c r="EE74" s="876" t="str">
        <f t="shared" si="162"/>
        <v/>
      </c>
      <c r="EF74" s="876" t="str">
        <f t="shared" si="163"/>
        <v/>
      </c>
      <c r="EG74" s="876" t="str">
        <f t="shared" si="164"/>
        <v/>
      </c>
      <c r="EH74" s="876" t="str">
        <f t="shared" si="165"/>
        <v/>
      </c>
      <c r="EI74" s="876" t="str">
        <f t="shared" si="166"/>
        <v/>
      </c>
      <c r="EJ74" s="876" t="str">
        <f t="shared" si="167"/>
        <v/>
      </c>
      <c r="EK74" s="874">
        <f t="shared" si="192"/>
        <v>0</v>
      </c>
      <c r="EL74" s="874">
        <f t="shared" si="193"/>
        <v>0</v>
      </c>
      <c r="EM74" s="874">
        <f t="shared" si="168"/>
        <v>0</v>
      </c>
      <c r="EN74" s="874" t="str">
        <f t="shared" si="169"/>
        <v/>
      </c>
      <c r="EO74" s="873" t="str">
        <f t="shared" si="194"/>
        <v/>
      </c>
      <c r="EP74" s="874">
        <f t="shared" si="195"/>
        <v>0</v>
      </c>
      <c r="EQ74" s="874">
        <f t="shared" si="196"/>
        <v>0</v>
      </c>
      <c r="ER74" s="874">
        <f t="shared" si="170"/>
        <v>0</v>
      </c>
      <c r="ES74" s="874" t="str">
        <f t="shared" si="171"/>
        <v/>
      </c>
      <c r="ET74" s="873" t="str">
        <f t="shared" si="197"/>
        <v/>
      </c>
      <c r="EU74" s="873">
        <f t="shared" si="172"/>
        <v>0</v>
      </c>
      <c r="EV74" s="876" t="e">
        <f t="shared" si="173"/>
        <v>#VALUE!</v>
      </c>
      <c r="EW74" s="876" t="e">
        <f t="shared" si="174"/>
        <v>#VALUE!</v>
      </c>
      <c r="EX74" s="942" t="str">
        <f t="shared" si="175"/>
        <v/>
      </c>
      <c r="EY74" s="879" t="e">
        <f t="shared" si="198"/>
        <v>#VALUE!</v>
      </c>
      <c r="EZ74" s="959" t="e">
        <f t="shared" si="176"/>
        <v>#VALUE!</v>
      </c>
      <c r="FA74" s="960" t="e">
        <f t="shared" si="177"/>
        <v>#VALUE!</v>
      </c>
      <c r="FB74" s="880" t="str">
        <f t="shared" si="178"/>
        <v/>
      </c>
      <c r="FC74" s="881" t="str">
        <f t="shared" si="179"/>
        <v/>
      </c>
      <c r="FD74" s="512">
        <f t="shared" si="180"/>
        <v>0</v>
      </c>
      <c r="FE74" s="513">
        <f t="shared" si="181"/>
        <v>0</v>
      </c>
      <c r="FF74" s="754" t="b">
        <f t="shared" si="106"/>
        <v>0</v>
      </c>
      <c r="FG74" s="754" t="b">
        <f t="shared" si="107"/>
        <v>0</v>
      </c>
      <c r="FH74" s="754" t="b">
        <f t="shared" si="108"/>
        <v>0</v>
      </c>
      <c r="FI74" s="917" t="b">
        <f t="shared" si="109"/>
        <v>0</v>
      </c>
      <c r="FJ74" s="920" t="str">
        <f t="shared" si="119"/>
        <v/>
      </c>
      <c r="FK74" s="919" t="str">
        <f t="shared" si="120"/>
        <v/>
      </c>
      <c r="FL74" s="320" t="e">
        <f t="shared" si="121"/>
        <v>#N/A</v>
      </c>
      <c r="FM74" s="312" t="str">
        <f t="shared" si="110"/>
        <v/>
      </c>
      <c r="FN74" s="272" t="str">
        <f t="shared" ca="1" si="122"/>
        <v/>
      </c>
      <c r="FO74" s="273" t="str">
        <f t="shared" ca="1" si="123"/>
        <v/>
      </c>
      <c r="FP74" s="274" t="str">
        <f t="shared" ca="1" si="124"/>
        <v/>
      </c>
      <c r="FQ74" s="274" t="str">
        <f t="shared" ca="1" si="125"/>
        <v/>
      </c>
      <c r="FR74" s="321">
        <f t="shared" ca="1" si="126"/>
        <v>0</v>
      </c>
      <c r="FS74" s="322">
        <f t="shared" ca="1" si="127"/>
        <v>0</v>
      </c>
      <c r="FT74" s="272" t="str">
        <f t="shared" ca="1" si="132"/>
        <v/>
      </c>
      <c r="FU74" s="275" t="str">
        <f t="shared" ca="1" si="133"/>
        <v/>
      </c>
      <c r="FV74" s="323" t="str">
        <f t="shared" ca="1" si="134"/>
        <v/>
      </c>
      <c r="FW74" s="276" t="str">
        <f t="shared" ca="1" si="128"/>
        <v/>
      </c>
      <c r="FX74" s="276" t="str">
        <f t="shared" ca="1" si="129"/>
        <v/>
      </c>
      <c r="FY74" s="276" t="str">
        <f t="shared" ca="1" si="135"/>
        <v/>
      </c>
      <c r="FZ74" s="276" t="str">
        <f t="shared" ca="1" si="130"/>
        <v/>
      </c>
      <c r="GA74" s="276" t="str">
        <f t="shared" ca="1" si="136"/>
        <v/>
      </c>
      <c r="GB74" s="277" t="str">
        <f ca="1">IF(FY74="","",2+SUM(FO74:OFFSET(FO74,(FU74-1)*-1,0)))</f>
        <v/>
      </c>
      <c r="GC74" s="316" t="e">
        <f t="shared" si="131"/>
        <v>#N/A</v>
      </c>
      <c r="GD74" s="324" t="str">
        <f t="shared" si="111"/>
        <v/>
      </c>
      <c r="GE74" s="325" t="str">
        <f t="shared" si="112"/>
        <v/>
      </c>
      <c r="GF74" s="278" t="str">
        <f t="shared" si="113"/>
        <v/>
      </c>
      <c r="GG74" s="279" t="str">
        <f t="shared" si="114"/>
        <v/>
      </c>
      <c r="GH74" s="279" t="str">
        <f t="shared" si="115"/>
        <v/>
      </c>
      <c r="GI74" s="280" t="str">
        <f t="shared" si="116"/>
        <v/>
      </c>
      <c r="GJ74" s="326">
        <f t="shared" ca="1" si="117"/>
        <v>0</v>
      </c>
      <c r="GK74" s="913" t="str">
        <f t="shared" ca="1" si="118"/>
        <v/>
      </c>
    </row>
    <row r="75" spans="78:196" ht="12.6" hidden="1" customHeight="1" x14ac:dyDescent="0.2">
      <c r="BZ75" s="293"/>
      <c r="CA75" s="293"/>
      <c r="CB75" s="365" t="str">
        <f t="shared" si="137"/>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38"/>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39"/>
        <v>0</v>
      </c>
      <c r="CU75" s="369">
        <f t="shared" si="140"/>
        <v>0</v>
      </c>
      <c r="CV75" s="274" t="str">
        <f t="shared" si="141"/>
        <v/>
      </c>
      <c r="CW75" s="274" t="str">
        <f t="shared" si="142"/>
        <v/>
      </c>
      <c r="CX75" s="873" t="str">
        <f t="shared" si="143"/>
        <v/>
      </c>
      <c r="CY75" s="874">
        <f t="shared" si="144"/>
        <v>0</v>
      </c>
      <c r="CZ75" s="874">
        <f t="shared" si="145"/>
        <v>0</v>
      </c>
      <c r="DA75" s="874" t="str">
        <f t="shared" si="146"/>
        <v/>
      </c>
      <c r="DB75" s="1310" t="str">
        <f t="shared" si="182"/>
        <v/>
      </c>
      <c r="DC75" s="1310" t="str">
        <f t="shared" si="147"/>
        <v/>
      </c>
      <c r="DD75" s="1311">
        <f t="shared" si="183"/>
        <v>0</v>
      </c>
      <c r="DE75" s="1310">
        <f t="shared" si="148"/>
        <v>0</v>
      </c>
      <c r="DF75" s="1312">
        <f t="shared" si="149"/>
        <v>0</v>
      </c>
      <c r="DG75" s="1312" t="str">
        <f t="shared" si="150"/>
        <v/>
      </c>
      <c r="DH75" s="1310" t="str">
        <f t="shared" si="184"/>
        <v/>
      </c>
      <c r="DI75" s="1310" t="str">
        <f t="shared" si="151"/>
        <v/>
      </c>
      <c r="DJ75" s="1311">
        <f t="shared" si="185"/>
        <v>0</v>
      </c>
      <c r="DK75" s="1310" t="str">
        <f t="shared" si="186"/>
        <v/>
      </c>
      <c r="DL75" s="1310" t="str">
        <f t="shared" si="187"/>
        <v/>
      </c>
      <c r="DM75" s="1310" t="str">
        <f t="shared" si="152"/>
        <v/>
      </c>
      <c r="DN75" s="1310" t="str">
        <f t="shared" si="153"/>
        <v/>
      </c>
      <c r="DO75" s="889" t="str">
        <f t="shared" si="154"/>
        <v>ERR</v>
      </c>
      <c r="DP75" s="889" t="str">
        <f t="shared" si="155"/>
        <v>ERR</v>
      </c>
      <c r="DQ75" s="1310" t="str">
        <f t="shared" si="188"/>
        <v/>
      </c>
      <c r="DR75" s="1310" t="str">
        <f t="shared" si="188"/>
        <v/>
      </c>
      <c r="DS75" s="1310" t="str">
        <f t="shared" si="189"/>
        <v/>
      </c>
      <c r="DT75" s="1310" t="str">
        <f t="shared" si="156"/>
        <v/>
      </c>
      <c r="DU75" s="1310" t="str">
        <f t="shared" si="157"/>
        <v/>
      </c>
      <c r="DV75" s="889" t="str">
        <f t="shared" si="158"/>
        <v>ERR</v>
      </c>
      <c r="DW75" s="889" t="str">
        <f t="shared" si="159"/>
        <v>ERR</v>
      </c>
      <c r="DX75" s="873" t="str">
        <f t="shared" si="190"/>
        <v/>
      </c>
      <c r="DY75" s="873" t="str">
        <f t="shared" si="190"/>
        <v/>
      </c>
      <c r="DZ75" s="873" t="str">
        <f t="shared" si="199"/>
        <v/>
      </c>
      <c r="EA75" s="873" t="str">
        <f t="shared" si="200"/>
        <v/>
      </c>
      <c r="EB75" s="876" t="str">
        <f t="shared" si="160"/>
        <v/>
      </c>
      <c r="EC75" s="877" t="str">
        <f t="shared" si="191"/>
        <v/>
      </c>
      <c r="ED75" s="876" t="str">
        <f t="shared" si="161"/>
        <v/>
      </c>
      <c r="EE75" s="876" t="str">
        <f t="shared" si="162"/>
        <v/>
      </c>
      <c r="EF75" s="876" t="str">
        <f t="shared" si="163"/>
        <v/>
      </c>
      <c r="EG75" s="876" t="str">
        <f t="shared" si="164"/>
        <v/>
      </c>
      <c r="EH75" s="876" t="str">
        <f t="shared" si="165"/>
        <v/>
      </c>
      <c r="EI75" s="876" t="str">
        <f t="shared" si="166"/>
        <v/>
      </c>
      <c r="EJ75" s="876" t="str">
        <f t="shared" si="167"/>
        <v/>
      </c>
      <c r="EK75" s="874">
        <f t="shared" si="192"/>
        <v>0</v>
      </c>
      <c r="EL75" s="874">
        <f t="shared" si="193"/>
        <v>0</v>
      </c>
      <c r="EM75" s="874">
        <f t="shared" si="168"/>
        <v>0</v>
      </c>
      <c r="EN75" s="874" t="str">
        <f t="shared" si="169"/>
        <v/>
      </c>
      <c r="EO75" s="873" t="str">
        <f t="shared" si="194"/>
        <v/>
      </c>
      <c r="EP75" s="874">
        <f t="shared" si="195"/>
        <v>0</v>
      </c>
      <c r="EQ75" s="874">
        <f t="shared" si="196"/>
        <v>0</v>
      </c>
      <c r="ER75" s="874">
        <f t="shared" si="170"/>
        <v>0</v>
      </c>
      <c r="ES75" s="874" t="str">
        <f t="shared" si="171"/>
        <v/>
      </c>
      <c r="ET75" s="873" t="str">
        <f t="shared" si="197"/>
        <v/>
      </c>
      <c r="EU75" s="873">
        <f t="shared" si="172"/>
        <v>0</v>
      </c>
      <c r="EV75" s="876" t="e">
        <f t="shared" si="173"/>
        <v>#VALUE!</v>
      </c>
      <c r="EW75" s="876" t="e">
        <f t="shared" si="174"/>
        <v>#VALUE!</v>
      </c>
      <c r="EX75" s="942" t="str">
        <f t="shared" si="175"/>
        <v/>
      </c>
      <c r="EY75" s="879" t="e">
        <f t="shared" si="198"/>
        <v>#VALUE!</v>
      </c>
      <c r="EZ75" s="959" t="e">
        <f t="shared" si="176"/>
        <v>#VALUE!</v>
      </c>
      <c r="FA75" s="960" t="e">
        <f t="shared" si="177"/>
        <v>#VALUE!</v>
      </c>
      <c r="FB75" s="880" t="str">
        <f t="shared" si="178"/>
        <v/>
      </c>
      <c r="FC75" s="881" t="str">
        <f t="shared" si="179"/>
        <v/>
      </c>
      <c r="FD75" s="512">
        <f t="shared" si="180"/>
        <v>0</v>
      </c>
      <c r="FE75" s="513">
        <f t="shared" si="181"/>
        <v>0</v>
      </c>
      <c r="FF75" s="754" t="b">
        <f t="shared" si="106"/>
        <v>0</v>
      </c>
      <c r="FG75" s="754" t="b">
        <f t="shared" si="107"/>
        <v>0</v>
      </c>
      <c r="FH75" s="754" t="b">
        <f t="shared" si="108"/>
        <v>0</v>
      </c>
      <c r="FI75" s="917" t="b">
        <f t="shared" si="109"/>
        <v>0</v>
      </c>
      <c r="FJ75" s="920" t="str">
        <f t="shared" si="119"/>
        <v/>
      </c>
      <c r="FK75" s="919" t="str">
        <f t="shared" si="120"/>
        <v/>
      </c>
      <c r="FL75" s="320" t="e">
        <f t="shared" si="121"/>
        <v>#N/A</v>
      </c>
      <c r="FM75" s="312" t="str">
        <f t="shared" si="110"/>
        <v/>
      </c>
      <c r="FN75" s="272" t="str">
        <f t="shared" ca="1" si="122"/>
        <v/>
      </c>
      <c r="FO75" s="273" t="str">
        <f t="shared" ca="1" si="123"/>
        <v/>
      </c>
      <c r="FP75" s="274" t="str">
        <f t="shared" ca="1" si="124"/>
        <v/>
      </c>
      <c r="FQ75" s="274" t="str">
        <f t="shared" ca="1" si="125"/>
        <v/>
      </c>
      <c r="FR75" s="321">
        <f t="shared" ca="1" si="126"/>
        <v>0</v>
      </c>
      <c r="FS75" s="322">
        <f t="shared" ca="1" si="127"/>
        <v>0</v>
      </c>
      <c r="FT75" s="272" t="str">
        <f t="shared" ca="1" si="132"/>
        <v/>
      </c>
      <c r="FU75" s="275" t="str">
        <f t="shared" ca="1" si="133"/>
        <v/>
      </c>
      <c r="FV75" s="323" t="str">
        <f t="shared" ca="1" si="134"/>
        <v/>
      </c>
      <c r="FW75" s="276" t="str">
        <f t="shared" ca="1" si="128"/>
        <v/>
      </c>
      <c r="FX75" s="276" t="str">
        <f t="shared" ca="1" si="129"/>
        <v/>
      </c>
      <c r="FY75" s="276" t="str">
        <f t="shared" ca="1" si="135"/>
        <v/>
      </c>
      <c r="FZ75" s="276" t="str">
        <f t="shared" ca="1" si="130"/>
        <v/>
      </c>
      <c r="GA75" s="276" t="str">
        <f t="shared" ca="1" si="136"/>
        <v/>
      </c>
      <c r="GB75" s="277" t="str">
        <f ca="1">IF(FY75="","",2+SUM(FO75:OFFSET(FO75,(FU75-1)*-1,0)))</f>
        <v/>
      </c>
      <c r="GC75" s="316" t="e">
        <f t="shared" si="131"/>
        <v>#N/A</v>
      </c>
      <c r="GD75" s="324" t="str">
        <f t="shared" si="111"/>
        <v/>
      </c>
      <c r="GE75" s="325" t="str">
        <f t="shared" si="112"/>
        <v/>
      </c>
      <c r="GF75" s="278" t="str">
        <f t="shared" si="113"/>
        <v/>
      </c>
      <c r="GG75" s="279" t="str">
        <f t="shared" si="114"/>
        <v/>
      </c>
      <c r="GH75" s="279" t="str">
        <f t="shared" si="115"/>
        <v/>
      </c>
      <c r="GI75" s="280" t="str">
        <f t="shared" si="116"/>
        <v/>
      </c>
      <c r="GJ75" s="326">
        <f t="shared" ca="1" si="117"/>
        <v>0</v>
      </c>
      <c r="GK75" s="913" t="str">
        <f t="shared" ca="1" si="118"/>
        <v/>
      </c>
    </row>
    <row r="76" spans="78:196" ht="12.6" hidden="1" customHeight="1" x14ac:dyDescent="0.2">
      <c r="BZ76" s="293"/>
      <c r="CA76" s="293"/>
      <c r="CB76" s="365" t="str">
        <f t="shared" si="137"/>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38"/>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39"/>
        <v>0</v>
      </c>
      <c r="CU76" s="369">
        <f t="shared" si="140"/>
        <v>0</v>
      </c>
      <c r="CV76" s="274" t="str">
        <f t="shared" si="141"/>
        <v/>
      </c>
      <c r="CW76" s="274" t="str">
        <f t="shared" si="142"/>
        <v/>
      </c>
      <c r="CX76" s="873" t="str">
        <f t="shared" si="143"/>
        <v/>
      </c>
      <c r="CY76" s="874">
        <f t="shared" si="144"/>
        <v>0</v>
      </c>
      <c r="CZ76" s="874">
        <f t="shared" si="145"/>
        <v>0</v>
      </c>
      <c r="DA76" s="874" t="str">
        <f t="shared" si="146"/>
        <v/>
      </c>
      <c r="DB76" s="1310" t="str">
        <f t="shared" si="182"/>
        <v/>
      </c>
      <c r="DC76" s="1310" t="str">
        <f t="shared" si="147"/>
        <v/>
      </c>
      <c r="DD76" s="1311">
        <f t="shared" si="183"/>
        <v>0</v>
      </c>
      <c r="DE76" s="1310">
        <f t="shared" si="148"/>
        <v>0</v>
      </c>
      <c r="DF76" s="1312">
        <f t="shared" si="149"/>
        <v>0</v>
      </c>
      <c r="DG76" s="1312" t="str">
        <f t="shared" si="150"/>
        <v/>
      </c>
      <c r="DH76" s="1310" t="str">
        <f t="shared" si="184"/>
        <v/>
      </c>
      <c r="DI76" s="1310" t="str">
        <f t="shared" si="151"/>
        <v/>
      </c>
      <c r="DJ76" s="1311">
        <f t="shared" si="185"/>
        <v>0</v>
      </c>
      <c r="DK76" s="1310" t="str">
        <f t="shared" si="186"/>
        <v/>
      </c>
      <c r="DL76" s="1310" t="str">
        <f t="shared" si="187"/>
        <v/>
      </c>
      <c r="DM76" s="1310" t="str">
        <f t="shared" si="152"/>
        <v/>
      </c>
      <c r="DN76" s="1310" t="str">
        <f t="shared" si="153"/>
        <v/>
      </c>
      <c r="DO76" s="889" t="str">
        <f t="shared" si="154"/>
        <v>ERR</v>
      </c>
      <c r="DP76" s="889" t="str">
        <f t="shared" si="155"/>
        <v>ERR</v>
      </c>
      <c r="DQ76" s="1310" t="str">
        <f t="shared" si="188"/>
        <v/>
      </c>
      <c r="DR76" s="1310" t="str">
        <f t="shared" si="188"/>
        <v/>
      </c>
      <c r="DS76" s="1310" t="str">
        <f t="shared" si="189"/>
        <v/>
      </c>
      <c r="DT76" s="1310" t="str">
        <f t="shared" si="156"/>
        <v/>
      </c>
      <c r="DU76" s="1310" t="str">
        <f t="shared" si="157"/>
        <v/>
      </c>
      <c r="DV76" s="889" t="str">
        <f t="shared" si="158"/>
        <v>ERR</v>
      </c>
      <c r="DW76" s="889" t="str">
        <f t="shared" si="159"/>
        <v>ERR</v>
      </c>
      <c r="DX76" s="873" t="str">
        <f t="shared" si="190"/>
        <v/>
      </c>
      <c r="DY76" s="873" t="str">
        <f t="shared" si="190"/>
        <v/>
      </c>
      <c r="DZ76" s="873" t="str">
        <f t="shared" si="199"/>
        <v/>
      </c>
      <c r="EA76" s="873" t="str">
        <f t="shared" si="200"/>
        <v/>
      </c>
      <c r="EB76" s="876" t="str">
        <f t="shared" si="160"/>
        <v/>
      </c>
      <c r="EC76" s="877" t="str">
        <f t="shared" si="191"/>
        <v/>
      </c>
      <c r="ED76" s="876" t="str">
        <f t="shared" si="161"/>
        <v/>
      </c>
      <c r="EE76" s="876" t="str">
        <f t="shared" si="162"/>
        <v/>
      </c>
      <c r="EF76" s="876" t="str">
        <f t="shared" si="163"/>
        <v/>
      </c>
      <c r="EG76" s="876" t="str">
        <f t="shared" si="164"/>
        <v/>
      </c>
      <c r="EH76" s="876" t="str">
        <f t="shared" si="165"/>
        <v/>
      </c>
      <c r="EI76" s="876" t="str">
        <f t="shared" si="166"/>
        <v/>
      </c>
      <c r="EJ76" s="876" t="str">
        <f t="shared" si="167"/>
        <v/>
      </c>
      <c r="EK76" s="874">
        <f t="shared" si="192"/>
        <v>0</v>
      </c>
      <c r="EL76" s="874">
        <f t="shared" si="193"/>
        <v>0</v>
      </c>
      <c r="EM76" s="874">
        <f t="shared" si="168"/>
        <v>0</v>
      </c>
      <c r="EN76" s="874" t="str">
        <f t="shared" si="169"/>
        <v/>
      </c>
      <c r="EO76" s="873" t="str">
        <f t="shared" si="194"/>
        <v/>
      </c>
      <c r="EP76" s="874">
        <f t="shared" si="195"/>
        <v>0</v>
      </c>
      <c r="EQ76" s="874">
        <f t="shared" si="196"/>
        <v>0</v>
      </c>
      <c r="ER76" s="874">
        <f t="shared" si="170"/>
        <v>0</v>
      </c>
      <c r="ES76" s="874" t="str">
        <f t="shared" si="171"/>
        <v/>
      </c>
      <c r="ET76" s="873" t="str">
        <f t="shared" si="197"/>
        <v/>
      </c>
      <c r="EU76" s="873">
        <f t="shared" si="172"/>
        <v>0</v>
      </c>
      <c r="EV76" s="876" t="e">
        <f t="shared" si="173"/>
        <v>#VALUE!</v>
      </c>
      <c r="EW76" s="876" t="e">
        <f t="shared" si="174"/>
        <v>#VALUE!</v>
      </c>
      <c r="EX76" s="942" t="str">
        <f t="shared" si="175"/>
        <v/>
      </c>
      <c r="EY76" s="879" t="e">
        <f t="shared" si="198"/>
        <v>#VALUE!</v>
      </c>
      <c r="EZ76" s="959" t="e">
        <f t="shared" si="176"/>
        <v>#VALUE!</v>
      </c>
      <c r="FA76" s="960" t="e">
        <f t="shared" si="177"/>
        <v>#VALUE!</v>
      </c>
      <c r="FB76" s="880" t="str">
        <f t="shared" si="178"/>
        <v/>
      </c>
      <c r="FC76" s="881" t="str">
        <f t="shared" si="179"/>
        <v/>
      </c>
      <c r="FD76" s="512">
        <f t="shared" si="180"/>
        <v>0</v>
      </c>
      <c r="FE76" s="513">
        <f t="shared" si="181"/>
        <v>0</v>
      </c>
      <c r="FF76" s="754" t="b">
        <f t="shared" si="106"/>
        <v>0</v>
      </c>
      <c r="FG76" s="754" t="b">
        <f t="shared" si="107"/>
        <v>0</v>
      </c>
      <c r="FH76" s="754" t="b">
        <f t="shared" si="108"/>
        <v>0</v>
      </c>
      <c r="FI76" s="917" t="b">
        <f t="shared" si="109"/>
        <v>0</v>
      </c>
      <c r="FJ76" s="920" t="str">
        <f t="shared" si="119"/>
        <v/>
      </c>
      <c r="FK76" s="919" t="str">
        <f t="shared" si="120"/>
        <v/>
      </c>
      <c r="FL76" s="320" t="e">
        <f t="shared" si="121"/>
        <v>#N/A</v>
      </c>
      <c r="FM76" s="312" t="str">
        <f t="shared" si="110"/>
        <v/>
      </c>
      <c r="FN76" s="272" t="str">
        <f t="shared" ca="1" si="122"/>
        <v/>
      </c>
      <c r="FO76" s="273" t="str">
        <f t="shared" ca="1" si="123"/>
        <v/>
      </c>
      <c r="FP76" s="274" t="str">
        <f t="shared" ca="1" si="124"/>
        <v/>
      </c>
      <c r="FQ76" s="274" t="str">
        <f t="shared" ca="1" si="125"/>
        <v/>
      </c>
      <c r="FR76" s="321">
        <f t="shared" ca="1" si="126"/>
        <v>0</v>
      </c>
      <c r="FS76" s="322">
        <f t="shared" ca="1" si="127"/>
        <v>0</v>
      </c>
      <c r="FT76" s="272" t="str">
        <f t="shared" ca="1" si="132"/>
        <v/>
      </c>
      <c r="FU76" s="275" t="str">
        <f t="shared" ca="1" si="133"/>
        <v/>
      </c>
      <c r="FV76" s="323" t="str">
        <f t="shared" ca="1" si="134"/>
        <v/>
      </c>
      <c r="FW76" s="276" t="str">
        <f t="shared" ca="1" si="128"/>
        <v/>
      </c>
      <c r="FX76" s="276" t="str">
        <f t="shared" ca="1" si="129"/>
        <v/>
      </c>
      <c r="FY76" s="276" t="str">
        <f t="shared" ca="1" si="135"/>
        <v/>
      </c>
      <c r="FZ76" s="276" t="str">
        <f t="shared" ca="1" si="130"/>
        <v/>
      </c>
      <c r="GA76" s="276" t="str">
        <f t="shared" ca="1" si="136"/>
        <v/>
      </c>
      <c r="GB76" s="277" t="str">
        <f ca="1">IF(FY76="","",2+SUM(FO76:OFFSET(FO76,(FU76-1)*-1,0)))</f>
        <v/>
      </c>
      <c r="GC76" s="316" t="e">
        <f t="shared" si="131"/>
        <v>#N/A</v>
      </c>
      <c r="GD76" s="324" t="str">
        <f t="shared" si="111"/>
        <v/>
      </c>
      <c r="GE76" s="325" t="str">
        <f t="shared" si="112"/>
        <v/>
      </c>
      <c r="GF76" s="278" t="str">
        <f t="shared" si="113"/>
        <v/>
      </c>
      <c r="GG76" s="279" t="str">
        <f t="shared" si="114"/>
        <v/>
      </c>
      <c r="GH76" s="279" t="str">
        <f t="shared" si="115"/>
        <v/>
      </c>
      <c r="GI76" s="280" t="str">
        <f t="shared" si="116"/>
        <v/>
      </c>
      <c r="GJ76" s="326">
        <f t="shared" ca="1" si="117"/>
        <v>0</v>
      </c>
      <c r="GK76" s="913" t="str">
        <f t="shared" ca="1" si="118"/>
        <v/>
      </c>
    </row>
    <row r="77" spans="78:196" ht="12.6" hidden="1" customHeight="1" x14ac:dyDescent="0.2">
      <c r="BZ77" s="293"/>
      <c r="CA77" s="293"/>
      <c r="CB77" s="365" t="str">
        <f t="shared" si="137"/>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38"/>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39"/>
        <v>0</v>
      </c>
      <c r="CU77" s="369">
        <f t="shared" si="140"/>
        <v>0</v>
      </c>
      <c r="CV77" s="274" t="str">
        <f t="shared" si="141"/>
        <v/>
      </c>
      <c r="CW77" s="274" t="str">
        <f t="shared" si="142"/>
        <v/>
      </c>
      <c r="CX77" s="873" t="str">
        <f t="shared" si="143"/>
        <v/>
      </c>
      <c r="CY77" s="874">
        <f t="shared" si="144"/>
        <v>0</v>
      </c>
      <c r="CZ77" s="874">
        <f t="shared" si="145"/>
        <v>0</v>
      </c>
      <c r="DA77" s="874" t="str">
        <f t="shared" si="146"/>
        <v/>
      </c>
      <c r="DB77" s="1310" t="str">
        <f t="shared" si="182"/>
        <v/>
      </c>
      <c r="DC77" s="1310" t="str">
        <f t="shared" si="147"/>
        <v/>
      </c>
      <c r="DD77" s="1311">
        <f t="shared" si="183"/>
        <v>0</v>
      </c>
      <c r="DE77" s="1310">
        <f t="shared" si="148"/>
        <v>0</v>
      </c>
      <c r="DF77" s="1312">
        <f t="shared" si="149"/>
        <v>0</v>
      </c>
      <c r="DG77" s="1312" t="str">
        <f t="shared" si="150"/>
        <v/>
      </c>
      <c r="DH77" s="1310" t="str">
        <f t="shared" si="184"/>
        <v/>
      </c>
      <c r="DI77" s="1310" t="str">
        <f t="shared" si="151"/>
        <v/>
      </c>
      <c r="DJ77" s="1311">
        <f t="shared" si="185"/>
        <v>0</v>
      </c>
      <c r="DK77" s="1310" t="str">
        <f t="shared" si="186"/>
        <v/>
      </c>
      <c r="DL77" s="1310" t="str">
        <f t="shared" si="187"/>
        <v/>
      </c>
      <c r="DM77" s="1310" t="str">
        <f t="shared" si="152"/>
        <v/>
      </c>
      <c r="DN77" s="1310" t="str">
        <f t="shared" si="153"/>
        <v/>
      </c>
      <c r="DO77" s="889" t="str">
        <f t="shared" si="154"/>
        <v>ERR</v>
      </c>
      <c r="DP77" s="889" t="str">
        <f t="shared" si="155"/>
        <v>ERR</v>
      </c>
      <c r="DQ77" s="1310" t="str">
        <f t="shared" si="188"/>
        <v/>
      </c>
      <c r="DR77" s="1310" t="str">
        <f t="shared" si="188"/>
        <v/>
      </c>
      <c r="DS77" s="1310" t="str">
        <f t="shared" si="189"/>
        <v/>
      </c>
      <c r="DT77" s="1310" t="str">
        <f t="shared" si="156"/>
        <v/>
      </c>
      <c r="DU77" s="1310" t="str">
        <f t="shared" si="157"/>
        <v/>
      </c>
      <c r="DV77" s="889" t="str">
        <f t="shared" si="158"/>
        <v>ERR</v>
      </c>
      <c r="DW77" s="889" t="str">
        <f t="shared" si="159"/>
        <v>ERR</v>
      </c>
      <c r="DX77" s="873" t="str">
        <f t="shared" si="190"/>
        <v/>
      </c>
      <c r="DY77" s="873" t="str">
        <f t="shared" si="190"/>
        <v/>
      </c>
      <c r="DZ77" s="873" t="str">
        <f t="shared" si="199"/>
        <v/>
      </c>
      <c r="EA77" s="873" t="str">
        <f t="shared" si="200"/>
        <v/>
      </c>
      <c r="EB77" s="876" t="str">
        <f t="shared" si="160"/>
        <v/>
      </c>
      <c r="EC77" s="877" t="str">
        <f t="shared" si="191"/>
        <v/>
      </c>
      <c r="ED77" s="876" t="str">
        <f t="shared" si="161"/>
        <v/>
      </c>
      <c r="EE77" s="876" t="str">
        <f t="shared" si="162"/>
        <v/>
      </c>
      <c r="EF77" s="876" t="str">
        <f t="shared" si="163"/>
        <v/>
      </c>
      <c r="EG77" s="876" t="str">
        <f t="shared" si="164"/>
        <v/>
      </c>
      <c r="EH77" s="876" t="str">
        <f t="shared" si="165"/>
        <v/>
      </c>
      <c r="EI77" s="876" t="str">
        <f t="shared" si="166"/>
        <v/>
      </c>
      <c r="EJ77" s="876" t="str">
        <f t="shared" si="167"/>
        <v/>
      </c>
      <c r="EK77" s="874">
        <f t="shared" si="192"/>
        <v>0</v>
      </c>
      <c r="EL77" s="874">
        <f t="shared" si="193"/>
        <v>0</v>
      </c>
      <c r="EM77" s="874">
        <f t="shared" si="168"/>
        <v>0</v>
      </c>
      <c r="EN77" s="874" t="str">
        <f t="shared" si="169"/>
        <v/>
      </c>
      <c r="EO77" s="873" t="str">
        <f t="shared" si="194"/>
        <v/>
      </c>
      <c r="EP77" s="874">
        <f t="shared" si="195"/>
        <v>0</v>
      </c>
      <c r="EQ77" s="874">
        <f t="shared" si="196"/>
        <v>0</v>
      </c>
      <c r="ER77" s="874">
        <f t="shared" si="170"/>
        <v>0</v>
      </c>
      <c r="ES77" s="874" t="str">
        <f t="shared" si="171"/>
        <v/>
      </c>
      <c r="ET77" s="873" t="str">
        <f t="shared" si="197"/>
        <v/>
      </c>
      <c r="EU77" s="873">
        <f t="shared" si="172"/>
        <v>0</v>
      </c>
      <c r="EV77" s="876" t="e">
        <f t="shared" si="173"/>
        <v>#VALUE!</v>
      </c>
      <c r="EW77" s="876" t="e">
        <f t="shared" si="174"/>
        <v>#VALUE!</v>
      </c>
      <c r="EX77" s="942" t="str">
        <f t="shared" si="175"/>
        <v/>
      </c>
      <c r="EY77" s="879" t="e">
        <f t="shared" si="198"/>
        <v>#VALUE!</v>
      </c>
      <c r="EZ77" s="959" t="e">
        <f t="shared" si="176"/>
        <v>#VALUE!</v>
      </c>
      <c r="FA77" s="960" t="e">
        <f t="shared" si="177"/>
        <v>#VALUE!</v>
      </c>
      <c r="FB77" s="880" t="str">
        <f t="shared" si="178"/>
        <v/>
      </c>
      <c r="FC77" s="881" t="str">
        <f t="shared" si="179"/>
        <v/>
      </c>
      <c r="FD77" s="512">
        <f t="shared" si="180"/>
        <v>0</v>
      </c>
      <c r="FE77" s="513">
        <f t="shared" si="181"/>
        <v>0</v>
      </c>
      <c r="FF77" s="754" t="b">
        <f t="shared" si="106"/>
        <v>0</v>
      </c>
      <c r="FG77" s="754" t="b">
        <f t="shared" si="107"/>
        <v>0</v>
      </c>
      <c r="FH77" s="754" t="b">
        <f t="shared" si="108"/>
        <v>0</v>
      </c>
      <c r="FI77" s="917" t="b">
        <f t="shared" si="109"/>
        <v>0</v>
      </c>
      <c r="FJ77" s="920" t="str">
        <f t="shared" si="119"/>
        <v/>
      </c>
      <c r="FK77" s="919" t="str">
        <f t="shared" si="120"/>
        <v/>
      </c>
      <c r="FL77" s="320" t="e">
        <f t="shared" si="121"/>
        <v>#N/A</v>
      </c>
      <c r="FM77" s="312" t="str">
        <f t="shared" si="110"/>
        <v/>
      </c>
      <c r="FN77" s="272" t="str">
        <f t="shared" ca="1" si="122"/>
        <v/>
      </c>
      <c r="FO77" s="273" t="str">
        <f t="shared" ca="1" si="123"/>
        <v/>
      </c>
      <c r="FP77" s="274" t="str">
        <f t="shared" ca="1" si="124"/>
        <v/>
      </c>
      <c r="FQ77" s="274" t="str">
        <f t="shared" ca="1" si="125"/>
        <v/>
      </c>
      <c r="FR77" s="321">
        <f t="shared" ca="1" si="126"/>
        <v>0</v>
      </c>
      <c r="FS77" s="322">
        <f t="shared" ca="1" si="127"/>
        <v>0</v>
      </c>
      <c r="FT77" s="272" t="str">
        <f t="shared" ca="1" si="132"/>
        <v/>
      </c>
      <c r="FU77" s="275" t="str">
        <f t="shared" ca="1" si="133"/>
        <v/>
      </c>
      <c r="FV77" s="323" t="str">
        <f t="shared" ca="1" si="134"/>
        <v/>
      </c>
      <c r="FW77" s="276" t="str">
        <f t="shared" ca="1" si="128"/>
        <v/>
      </c>
      <c r="FX77" s="276" t="str">
        <f t="shared" ca="1" si="129"/>
        <v/>
      </c>
      <c r="FY77" s="276" t="str">
        <f t="shared" ca="1" si="135"/>
        <v/>
      </c>
      <c r="FZ77" s="276" t="str">
        <f t="shared" ca="1" si="130"/>
        <v/>
      </c>
      <c r="GA77" s="276" t="str">
        <f t="shared" ca="1" si="136"/>
        <v/>
      </c>
      <c r="GB77" s="277" t="str">
        <f ca="1">IF(FY77="","",2+SUM(FO77:OFFSET(FO77,(FU77-1)*-1,0)))</f>
        <v/>
      </c>
      <c r="GC77" s="316" t="e">
        <f t="shared" si="131"/>
        <v>#N/A</v>
      </c>
      <c r="GD77" s="324" t="str">
        <f t="shared" si="111"/>
        <v/>
      </c>
      <c r="GE77" s="325" t="str">
        <f t="shared" si="112"/>
        <v/>
      </c>
      <c r="GF77" s="278" t="str">
        <f t="shared" si="113"/>
        <v/>
      </c>
      <c r="GG77" s="279" t="str">
        <f t="shared" si="114"/>
        <v/>
      </c>
      <c r="GH77" s="279" t="str">
        <f t="shared" si="115"/>
        <v/>
      </c>
      <c r="GI77" s="280" t="str">
        <f t="shared" si="116"/>
        <v/>
      </c>
      <c r="GJ77" s="326">
        <f t="shared" ca="1" si="117"/>
        <v>0</v>
      </c>
      <c r="GK77" s="913" t="str">
        <f t="shared" ca="1" si="118"/>
        <v/>
      </c>
    </row>
    <row r="78" spans="78:196" ht="12.6" hidden="1" customHeight="1" x14ac:dyDescent="0.2">
      <c r="BZ78" s="293"/>
      <c r="CA78" s="293"/>
      <c r="CB78" s="365" t="str">
        <f t="shared" si="137"/>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38"/>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39"/>
        <v>0</v>
      </c>
      <c r="CU78" s="369">
        <f t="shared" si="140"/>
        <v>0</v>
      </c>
      <c r="CV78" s="274" t="str">
        <f t="shared" si="141"/>
        <v/>
      </c>
      <c r="CW78" s="274" t="str">
        <f t="shared" si="142"/>
        <v/>
      </c>
      <c r="CX78" s="873" t="str">
        <f t="shared" si="143"/>
        <v/>
      </c>
      <c r="CY78" s="874">
        <f t="shared" si="144"/>
        <v>0</v>
      </c>
      <c r="CZ78" s="874">
        <f t="shared" si="145"/>
        <v>0</v>
      </c>
      <c r="DA78" s="874" t="str">
        <f t="shared" si="146"/>
        <v/>
      </c>
      <c r="DB78" s="1310" t="str">
        <f t="shared" si="182"/>
        <v/>
      </c>
      <c r="DC78" s="1310" t="str">
        <f t="shared" si="147"/>
        <v/>
      </c>
      <c r="DD78" s="1311">
        <f t="shared" si="183"/>
        <v>0</v>
      </c>
      <c r="DE78" s="1310">
        <f t="shared" si="148"/>
        <v>0</v>
      </c>
      <c r="DF78" s="1312">
        <f t="shared" si="149"/>
        <v>0</v>
      </c>
      <c r="DG78" s="1312" t="str">
        <f t="shared" si="150"/>
        <v/>
      </c>
      <c r="DH78" s="1310" t="str">
        <f t="shared" si="184"/>
        <v/>
      </c>
      <c r="DI78" s="1310" t="str">
        <f t="shared" si="151"/>
        <v/>
      </c>
      <c r="DJ78" s="1311">
        <f t="shared" si="185"/>
        <v>0</v>
      </c>
      <c r="DK78" s="1310" t="str">
        <f t="shared" si="186"/>
        <v/>
      </c>
      <c r="DL78" s="1310" t="str">
        <f t="shared" si="187"/>
        <v/>
      </c>
      <c r="DM78" s="1310" t="str">
        <f t="shared" si="152"/>
        <v/>
      </c>
      <c r="DN78" s="1310" t="str">
        <f t="shared" si="153"/>
        <v/>
      </c>
      <c r="DO78" s="889" t="str">
        <f t="shared" si="154"/>
        <v>ERR</v>
      </c>
      <c r="DP78" s="889" t="str">
        <f t="shared" si="155"/>
        <v>ERR</v>
      </c>
      <c r="DQ78" s="1310" t="str">
        <f t="shared" si="188"/>
        <v/>
      </c>
      <c r="DR78" s="1310" t="str">
        <f t="shared" si="188"/>
        <v/>
      </c>
      <c r="DS78" s="1310" t="str">
        <f t="shared" si="189"/>
        <v/>
      </c>
      <c r="DT78" s="1310" t="str">
        <f t="shared" si="156"/>
        <v/>
      </c>
      <c r="DU78" s="1310" t="str">
        <f t="shared" si="157"/>
        <v/>
      </c>
      <c r="DV78" s="889" t="str">
        <f t="shared" si="158"/>
        <v>ERR</v>
      </c>
      <c r="DW78" s="889" t="str">
        <f t="shared" si="159"/>
        <v>ERR</v>
      </c>
      <c r="DX78" s="873" t="str">
        <f t="shared" si="190"/>
        <v/>
      </c>
      <c r="DY78" s="873" t="str">
        <f t="shared" si="190"/>
        <v/>
      </c>
      <c r="DZ78" s="873" t="str">
        <f t="shared" si="199"/>
        <v/>
      </c>
      <c r="EA78" s="873" t="str">
        <f t="shared" si="200"/>
        <v/>
      </c>
      <c r="EB78" s="876" t="str">
        <f t="shared" si="160"/>
        <v/>
      </c>
      <c r="EC78" s="877" t="str">
        <f t="shared" si="191"/>
        <v/>
      </c>
      <c r="ED78" s="876" t="str">
        <f t="shared" si="161"/>
        <v/>
      </c>
      <c r="EE78" s="876" t="str">
        <f t="shared" si="162"/>
        <v/>
      </c>
      <c r="EF78" s="876" t="str">
        <f t="shared" si="163"/>
        <v/>
      </c>
      <c r="EG78" s="876" t="str">
        <f t="shared" si="164"/>
        <v/>
      </c>
      <c r="EH78" s="876" t="str">
        <f t="shared" si="165"/>
        <v/>
      </c>
      <c r="EI78" s="876" t="str">
        <f t="shared" si="166"/>
        <v/>
      </c>
      <c r="EJ78" s="876" t="str">
        <f t="shared" si="167"/>
        <v/>
      </c>
      <c r="EK78" s="874">
        <f t="shared" si="192"/>
        <v>0</v>
      </c>
      <c r="EL78" s="874">
        <f t="shared" si="193"/>
        <v>0</v>
      </c>
      <c r="EM78" s="874">
        <f t="shared" si="168"/>
        <v>0</v>
      </c>
      <c r="EN78" s="874" t="str">
        <f t="shared" si="169"/>
        <v/>
      </c>
      <c r="EO78" s="873" t="str">
        <f t="shared" si="194"/>
        <v/>
      </c>
      <c r="EP78" s="874">
        <f t="shared" si="195"/>
        <v>0</v>
      </c>
      <c r="EQ78" s="874">
        <f t="shared" si="196"/>
        <v>0</v>
      </c>
      <c r="ER78" s="874">
        <f t="shared" si="170"/>
        <v>0</v>
      </c>
      <c r="ES78" s="874" t="str">
        <f t="shared" si="171"/>
        <v/>
      </c>
      <c r="ET78" s="873" t="str">
        <f t="shared" si="197"/>
        <v/>
      </c>
      <c r="EU78" s="873">
        <f t="shared" si="172"/>
        <v>0</v>
      </c>
      <c r="EV78" s="876" t="e">
        <f t="shared" si="173"/>
        <v>#VALUE!</v>
      </c>
      <c r="EW78" s="876" t="e">
        <f t="shared" si="174"/>
        <v>#VALUE!</v>
      </c>
      <c r="EX78" s="942" t="str">
        <f t="shared" si="175"/>
        <v/>
      </c>
      <c r="EY78" s="879" t="e">
        <f t="shared" si="198"/>
        <v>#VALUE!</v>
      </c>
      <c r="EZ78" s="959" t="e">
        <f t="shared" si="176"/>
        <v>#VALUE!</v>
      </c>
      <c r="FA78" s="960" t="e">
        <f t="shared" si="177"/>
        <v>#VALUE!</v>
      </c>
      <c r="FB78" s="880" t="str">
        <f t="shared" si="178"/>
        <v/>
      </c>
      <c r="FC78" s="881" t="str">
        <f t="shared" si="179"/>
        <v/>
      </c>
      <c r="FD78" s="512">
        <f t="shared" si="180"/>
        <v>0</v>
      </c>
      <c r="FE78" s="513">
        <f t="shared" si="181"/>
        <v>0</v>
      </c>
      <c r="FF78" s="754" t="b">
        <f t="shared" si="106"/>
        <v>0</v>
      </c>
      <c r="FG78" s="754" t="b">
        <f t="shared" si="107"/>
        <v>0</v>
      </c>
      <c r="FH78" s="754" t="b">
        <f t="shared" si="108"/>
        <v>0</v>
      </c>
      <c r="FI78" s="917" t="b">
        <f t="shared" si="109"/>
        <v>0</v>
      </c>
      <c r="FJ78" s="920" t="str">
        <f t="shared" si="119"/>
        <v/>
      </c>
      <c r="FK78" s="919" t="str">
        <f t="shared" si="120"/>
        <v/>
      </c>
      <c r="FL78" s="320" t="e">
        <f t="shared" si="121"/>
        <v>#N/A</v>
      </c>
      <c r="FM78" s="312" t="str">
        <f t="shared" si="110"/>
        <v/>
      </c>
      <c r="FN78" s="272" t="str">
        <f t="shared" ca="1" si="122"/>
        <v/>
      </c>
      <c r="FO78" s="273" t="str">
        <f t="shared" ca="1" si="123"/>
        <v/>
      </c>
      <c r="FP78" s="274" t="str">
        <f t="shared" ca="1" si="124"/>
        <v/>
      </c>
      <c r="FQ78" s="274" t="str">
        <f t="shared" ca="1" si="125"/>
        <v/>
      </c>
      <c r="FR78" s="321">
        <f t="shared" ca="1" si="126"/>
        <v>0</v>
      </c>
      <c r="FS78" s="322">
        <f t="shared" ca="1" si="127"/>
        <v>0</v>
      </c>
      <c r="FT78" s="272" t="str">
        <f t="shared" ca="1" si="132"/>
        <v/>
      </c>
      <c r="FU78" s="275" t="str">
        <f t="shared" ca="1" si="133"/>
        <v/>
      </c>
      <c r="FV78" s="323" t="str">
        <f t="shared" ca="1" si="134"/>
        <v/>
      </c>
      <c r="FW78" s="276" t="str">
        <f t="shared" ca="1" si="128"/>
        <v/>
      </c>
      <c r="FX78" s="276" t="str">
        <f t="shared" ca="1" si="129"/>
        <v/>
      </c>
      <c r="FY78" s="276" t="str">
        <f t="shared" ca="1" si="135"/>
        <v/>
      </c>
      <c r="FZ78" s="276" t="str">
        <f t="shared" ca="1" si="130"/>
        <v/>
      </c>
      <c r="GA78" s="276" t="str">
        <f t="shared" ca="1" si="136"/>
        <v/>
      </c>
      <c r="GB78" s="277" t="str">
        <f ca="1">IF(FY78="","",2+SUM(FO78:OFFSET(FO78,(FU78-1)*-1,0)))</f>
        <v/>
      </c>
      <c r="GC78" s="316" t="e">
        <f t="shared" si="131"/>
        <v>#N/A</v>
      </c>
      <c r="GD78" s="324" t="str">
        <f t="shared" si="111"/>
        <v/>
      </c>
      <c r="GE78" s="325" t="str">
        <f t="shared" si="112"/>
        <v/>
      </c>
      <c r="GF78" s="278" t="str">
        <f t="shared" si="113"/>
        <v/>
      </c>
      <c r="GG78" s="279" t="str">
        <f t="shared" si="114"/>
        <v/>
      </c>
      <c r="GH78" s="279" t="str">
        <f t="shared" si="115"/>
        <v/>
      </c>
      <c r="GI78" s="280" t="str">
        <f t="shared" si="116"/>
        <v/>
      </c>
      <c r="GJ78" s="326">
        <f t="shared" ca="1" si="117"/>
        <v>0</v>
      </c>
      <c r="GK78" s="913" t="str">
        <f t="shared" ca="1" si="118"/>
        <v/>
      </c>
    </row>
    <row r="79" spans="78:196" ht="12.6" hidden="1" customHeight="1" x14ac:dyDescent="0.2">
      <c r="BZ79" s="293"/>
      <c r="CA79" s="293"/>
      <c r="CB79" s="365" t="str">
        <f t="shared" si="137"/>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38"/>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39"/>
        <v>0</v>
      </c>
      <c r="CU79" s="369">
        <f t="shared" si="140"/>
        <v>0</v>
      </c>
      <c r="CV79" s="274" t="str">
        <f t="shared" si="141"/>
        <v/>
      </c>
      <c r="CW79" s="274" t="str">
        <f t="shared" si="142"/>
        <v/>
      </c>
      <c r="CX79" s="873" t="str">
        <f t="shared" si="143"/>
        <v/>
      </c>
      <c r="CY79" s="874">
        <f t="shared" si="144"/>
        <v>0</v>
      </c>
      <c r="CZ79" s="874">
        <f t="shared" si="145"/>
        <v>0</v>
      </c>
      <c r="DA79" s="874" t="str">
        <f t="shared" si="146"/>
        <v/>
      </c>
      <c r="DB79" s="1310" t="str">
        <f t="shared" si="182"/>
        <v/>
      </c>
      <c r="DC79" s="1310" t="str">
        <f t="shared" si="147"/>
        <v/>
      </c>
      <c r="DD79" s="1311">
        <f t="shared" si="183"/>
        <v>0</v>
      </c>
      <c r="DE79" s="1310">
        <f t="shared" si="148"/>
        <v>0</v>
      </c>
      <c r="DF79" s="1312">
        <f t="shared" si="149"/>
        <v>0</v>
      </c>
      <c r="DG79" s="1312" t="str">
        <f t="shared" si="150"/>
        <v/>
      </c>
      <c r="DH79" s="1310" t="str">
        <f t="shared" si="184"/>
        <v/>
      </c>
      <c r="DI79" s="1310" t="str">
        <f t="shared" si="151"/>
        <v/>
      </c>
      <c r="DJ79" s="1311">
        <f t="shared" si="185"/>
        <v>0</v>
      </c>
      <c r="DK79" s="1310" t="str">
        <f t="shared" si="186"/>
        <v/>
      </c>
      <c r="DL79" s="1310" t="str">
        <f t="shared" si="187"/>
        <v/>
      </c>
      <c r="DM79" s="1310" t="str">
        <f t="shared" si="152"/>
        <v/>
      </c>
      <c r="DN79" s="1310" t="str">
        <f t="shared" si="153"/>
        <v/>
      </c>
      <c r="DO79" s="889" t="str">
        <f t="shared" si="154"/>
        <v>ERR</v>
      </c>
      <c r="DP79" s="889" t="str">
        <f t="shared" si="155"/>
        <v>ERR</v>
      </c>
      <c r="DQ79" s="1310" t="str">
        <f t="shared" si="188"/>
        <v/>
      </c>
      <c r="DR79" s="1310" t="str">
        <f t="shared" si="188"/>
        <v/>
      </c>
      <c r="DS79" s="1310" t="str">
        <f t="shared" si="189"/>
        <v/>
      </c>
      <c r="DT79" s="1310" t="str">
        <f t="shared" si="156"/>
        <v/>
      </c>
      <c r="DU79" s="1310" t="str">
        <f t="shared" si="157"/>
        <v/>
      </c>
      <c r="DV79" s="889" t="str">
        <f t="shared" si="158"/>
        <v>ERR</v>
      </c>
      <c r="DW79" s="889" t="str">
        <f t="shared" si="159"/>
        <v>ERR</v>
      </c>
      <c r="DX79" s="873" t="str">
        <f t="shared" si="190"/>
        <v/>
      </c>
      <c r="DY79" s="873" t="str">
        <f t="shared" si="190"/>
        <v/>
      </c>
      <c r="DZ79" s="873" t="str">
        <f t="shared" si="199"/>
        <v/>
      </c>
      <c r="EA79" s="873" t="str">
        <f t="shared" si="200"/>
        <v/>
      </c>
      <c r="EB79" s="876" t="str">
        <f t="shared" si="160"/>
        <v/>
      </c>
      <c r="EC79" s="877" t="str">
        <f t="shared" si="191"/>
        <v/>
      </c>
      <c r="ED79" s="876" t="str">
        <f t="shared" si="161"/>
        <v/>
      </c>
      <c r="EE79" s="876" t="str">
        <f t="shared" si="162"/>
        <v/>
      </c>
      <c r="EF79" s="876" t="str">
        <f t="shared" si="163"/>
        <v/>
      </c>
      <c r="EG79" s="876" t="str">
        <f t="shared" si="164"/>
        <v/>
      </c>
      <c r="EH79" s="876" t="str">
        <f t="shared" si="165"/>
        <v/>
      </c>
      <c r="EI79" s="876" t="str">
        <f t="shared" si="166"/>
        <v/>
      </c>
      <c r="EJ79" s="876" t="str">
        <f t="shared" si="167"/>
        <v/>
      </c>
      <c r="EK79" s="874">
        <f t="shared" si="192"/>
        <v>0</v>
      </c>
      <c r="EL79" s="874">
        <f t="shared" si="193"/>
        <v>0</v>
      </c>
      <c r="EM79" s="874">
        <f t="shared" si="168"/>
        <v>0</v>
      </c>
      <c r="EN79" s="874" t="str">
        <f t="shared" si="169"/>
        <v/>
      </c>
      <c r="EO79" s="873" t="str">
        <f t="shared" si="194"/>
        <v/>
      </c>
      <c r="EP79" s="874">
        <f t="shared" si="195"/>
        <v>0</v>
      </c>
      <c r="EQ79" s="874">
        <f t="shared" si="196"/>
        <v>0</v>
      </c>
      <c r="ER79" s="874">
        <f t="shared" si="170"/>
        <v>0</v>
      </c>
      <c r="ES79" s="874" t="str">
        <f t="shared" si="171"/>
        <v/>
      </c>
      <c r="ET79" s="873" t="str">
        <f t="shared" si="197"/>
        <v/>
      </c>
      <c r="EU79" s="873">
        <f t="shared" si="172"/>
        <v>0</v>
      </c>
      <c r="EV79" s="876" t="e">
        <f t="shared" si="173"/>
        <v>#VALUE!</v>
      </c>
      <c r="EW79" s="876" t="e">
        <f t="shared" si="174"/>
        <v>#VALUE!</v>
      </c>
      <c r="EX79" s="942" t="str">
        <f t="shared" si="175"/>
        <v/>
      </c>
      <c r="EY79" s="879" t="e">
        <f t="shared" si="198"/>
        <v>#VALUE!</v>
      </c>
      <c r="EZ79" s="959" t="e">
        <f t="shared" si="176"/>
        <v>#VALUE!</v>
      </c>
      <c r="FA79" s="960" t="e">
        <f t="shared" si="177"/>
        <v>#VALUE!</v>
      </c>
      <c r="FB79" s="880" t="str">
        <f t="shared" si="178"/>
        <v/>
      </c>
      <c r="FC79" s="881" t="str">
        <f t="shared" si="179"/>
        <v/>
      </c>
      <c r="FD79" s="512">
        <f t="shared" si="180"/>
        <v>0</v>
      </c>
      <c r="FE79" s="513">
        <f t="shared" si="181"/>
        <v>0</v>
      </c>
      <c r="FF79" s="754" t="b">
        <f t="shared" si="106"/>
        <v>0</v>
      </c>
      <c r="FG79" s="754" t="b">
        <f t="shared" si="107"/>
        <v>0</v>
      </c>
      <c r="FH79" s="754" t="b">
        <f t="shared" si="108"/>
        <v>0</v>
      </c>
      <c r="FI79" s="917" t="b">
        <f t="shared" si="109"/>
        <v>0</v>
      </c>
      <c r="FJ79" s="920" t="str">
        <f t="shared" si="119"/>
        <v/>
      </c>
      <c r="FK79" s="919" t="str">
        <f t="shared" si="120"/>
        <v/>
      </c>
      <c r="FL79" s="320" t="e">
        <f t="shared" si="121"/>
        <v>#N/A</v>
      </c>
      <c r="FM79" s="312" t="str">
        <f t="shared" si="110"/>
        <v/>
      </c>
      <c r="FN79" s="272" t="str">
        <f t="shared" ca="1" si="122"/>
        <v/>
      </c>
      <c r="FO79" s="273" t="str">
        <f t="shared" ca="1" si="123"/>
        <v/>
      </c>
      <c r="FP79" s="274" t="str">
        <f t="shared" ca="1" si="124"/>
        <v/>
      </c>
      <c r="FQ79" s="274" t="str">
        <f t="shared" ca="1" si="125"/>
        <v/>
      </c>
      <c r="FR79" s="321">
        <f t="shared" ca="1" si="126"/>
        <v>0</v>
      </c>
      <c r="FS79" s="322">
        <f t="shared" ca="1" si="127"/>
        <v>0</v>
      </c>
      <c r="FT79" s="272" t="str">
        <f t="shared" ca="1" si="132"/>
        <v/>
      </c>
      <c r="FU79" s="275" t="str">
        <f t="shared" ca="1" si="133"/>
        <v/>
      </c>
      <c r="FV79" s="323" t="str">
        <f t="shared" ca="1" si="134"/>
        <v/>
      </c>
      <c r="FW79" s="276" t="str">
        <f t="shared" ca="1" si="128"/>
        <v/>
      </c>
      <c r="FX79" s="276" t="str">
        <f t="shared" ca="1" si="129"/>
        <v/>
      </c>
      <c r="FY79" s="276" t="str">
        <f t="shared" ca="1" si="135"/>
        <v/>
      </c>
      <c r="FZ79" s="276" t="str">
        <f t="shared" ca="1" si="130"/>
        <v/>
      </c>
      <c r="GA79" s="276" t="str">
        <f t="shared" ca="1" si="136"/>
        <v/>
      </c>
      <c r="GB79" s="277" t="str">
        <f ca="1">IF(FY79="","",2+SUM(FO79:OFFSET(FO79,(FU79-1)*-1,0)))</f>
        <v/>
      </c>
      <c r="GC79" s="316" t="e">
        <f t="shared" si="131"/>
        <v>#N/A</v>
      </c>
      <c r="GD79" s="324" t="str">
        <f t="shared" si="111"/>
        <v/>
      </c>
      <c r="GE79" s="325" t="str">
        <f t="shared" si="112"/>
        <v/>
      </c>
      <c r="GF79" s="278" t="str">
        <f t="shared" si="113"/>
        <v/>
      </c>
      <c r="GG79" s="279" t="str">
        <f t="shared" si="114"/>
        <v/>
      </c>
      <c r="GH79" s="279" t="str">
        <f t="shared" si="115"/>
        <v/>
      </c>
      <c r="GI79" s="280" t="str">
        <f t="shared" si="116"/>
        <v/>
      </c>
      <c r="GJ79" s="326">
        <f t="shared" ca="1" si="117"/>
        <v>0</v>
      </c>
      <c r="GK79" s="913" t="str">
        <f t="shared" ca="1" si="118"/>
        <v/>
      </c>
    </row>
    <row r="80" spans="78:196" ht="12.6" hidden="1" customHeight="1" x14ac:dyDescent="0.2">
      <c r="BZ80" s="293"/>
      <c r="CA80" s="293"/>
      <c r="CB80" s="365" t="str">
        <f t="shared" si="137"/>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38"/>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39"/>
        <v>0</v>
      </c>
      <c r="CU80" s="369">
        <f t="shared" si="140"/>
        <v>0</v>
      </c>
      <c r="CV80" s="274" t="str">
        <f t="shared" si="141"/>
        <v/>
      </c>
      <c r="CW80" s="274" t="str">
        <f t="shared" si="142"/>
        <v/>
      </c>
      <c r="CX80" s="873" t="str">
        <f t="shared" si="143"/>
        <v/>
      </c>
      <c r="CY80" s="874">
        <f t="shared" si="144"/>
        <v>0</v>
      </c>
      <c r="CZ80" s="874">
        <f t="shared" si="145"/>
        <v>0</v>
      </c>
      <c r="DA80" s="874" t="str">
        <f t="shared" si="146"/>
        <v/>
      </c>
      <c r="DB80" s="1310" t="str">
        <f t="shared" si="182"/>
        <v/>
      </c>
      <c r="DC80" s="1310" t="str">
        <f t="shared" si="147"/>
        <v/>
      </c>
      <c r="DD80" s="1311">
        <f t="shared" si="183"/>
        <v>0</v>
      </c>
      <c r="DE80" s="1310">
        <f t="shared" si="148"/>
        <v>0</v>
      </c>
      <c r="DF80" s="1312">
        <f t="shared" si="149"/>
        <v>0</v>
      </c>
      <c r="DG80" s="1312" t="str">
        <f t="shared" si="150"/>
        <v/>
      </c>
      <c r="DH80" s="1310" t="str">
        <f t="shared" si="184"/>
        <v/>
      </c>
      <c r="DI80" s="1310" t="str">
        <f t="shared" si="151"/>
        <v/>
      </c>
      <c r="DJ80" s="1311">
        <f t="shared" si="185"/>
        <v>0</v>
      </c>
      <c r="DK80" s="1310" t="str">
        <f t="shared" si="186"/>
        <v/>
      </c>
      <c r="DL80" s="1310" t="str">
        <f t="shared" si="187"/>
        <v/>
      </c>
      <c r="DM80" s="1310" t="str">
        <f t="shared" si="152"/>
        <v/>
      </c>
      <c r="DN80" s="1310" t="str">
        <f t="shared" si="153"/>
        <v/>
      </c>
      <c r="DO80" s="889" t="str">
        <f t="shared" si="154"/>
        <v>ERR</v>
      </c>
      <c r="DP80" s="889" t="str">
        <f t="shared" si="155"/>
        <v>ERR</v>
      </c>
      <c r="DQ80" s="1310" t="str">
        <f t="shared" si="188"/>
        <v/>
      </c>
      <c r="DR80" s="1310" t="str">
        <f t="shared" si="188"/>
        <v/>
      </c>
      <c r="DS80" s="1310" t="str">
        <f t="shared" si="189"/>
        <v/>
      </c>
      <c r="DT80" s="1310" t="str">
        <f t="shared" si="156"/>
        <v/>
      </c>
      <c r="DU80" s="1310" t="str">
        <f t="shared" si="157"/>
        <v/>
      </c>
      <c r="DV80" s="889" t="str">
        <f t="shared" si="158"/>
        <v>ERR</v>
      </c>
      <c r="DW80" s="889" t="str">
        <f t="shared" si="159"/>
        <v>ERR</v>
      </c>
      <c r="DX80" s="873" t="str">
        <f t="shared" si="190"/>
        <v/>
      </c>
      <c r="DY80" s="873" t="str">
        <f t="shared" si="190"/>
        <v/>
      </c>
      <c r="DZ80" s="873" t="str">
        <f t="shared" si="199"/>
        <v/>
      </c>
      <c r="EA80" s="873" t="str">
        <f t="shared" si="200"/>
        <v/>
      </c>
      <c r="EB80" s="876" t="str">
        <f t="shared" si="160"/>
        <v/>
      </c>
      <c r="EC80" s="877" t="str">
        <f t="shared" si="191"/>
        <v/>
      </c>
      <c r="ED80" s="876" t="str">
        <f t="shared" si="161"/>
        <v/>
      </c>
      <c r="EE80" s="876" t="str">
        <f t="shared" si="162"/>
        <v/>
      </c>
      <c r="EF80" s="876" t="str">
        <f t="shared" si="163"/>
        <v/>
      </c>
      <c r="EG80" s="876" t="str">
        <f t="shared" si="164"/>
        <v/>
      </c>
      <c r="EH80" s="876" t="str">
        <f t="shared" si="165"/>
        <v/>
      </c>
      <c r="EI80" s="876" t="str">
        <f t="shared" si="166"/>
        <v/>
      </c>
      <c r="EJ80" s="876" t="str">
        <f t="shared" si="167"/>
        <v/>
      </c>
      <c r="EK80" s="874">
        <f t="shared" si="192"/>
        <v>0</v>
      </c>
      <c r="EL80" s="874">
        <f t="shared" si="193"/>
        <v>0</v>
      </c>
      <c r="EM80" s="874">
        <f t="shared" si="168"/>
        <v>0</v>
      </c>
      <c r="EN80" s="874" t="str">
        <f t="shared" si="169"/>
        <v/>
      </c>
      <c r="EO80" s="873" t="str">
        <f t="shared" si="194"/>
        <v/>
      </c>
      <c r="EP80" s="874">
        <f t="shared" si="195"/>
        <v>0</v>
      </c>
      <c r="EQ80" s="874">
        <f t="shared" si="196"/>
        <v>0</v>
      </c>
      <c r="ER80" s="874">
        <f t="shared" si="170"/>
        <v>0</v>
      </c>
      <c r="ES80" s="874" t="str">
        <f t="shared" si="171"/>
        <v/>
      </c>
      <c r="ET80" s="873" t="str">
        <f t="shared" si="197"/>
        <v/>
      </c>
      <c r="EU80" s="873">
        <f t="shared" si="172"/>
        <v>0</v>
      </c>
      <c r="EV80" s="876" t="e">
        <f t="shared" si="173"/>
        <v>#VALUE!</v>
      </c>
      <c r="EW80" s="876" t="e">
        <f t="shared" si="174"/>
        <v>#VALUE!</v>
      </c>
      <c r="EX80" s="942" t="str">
        <f t="shared" si="175"/>
        <v/>
      </c>
      <c r="EY80" s="879" t="e">
        <f t="shared" si="198"/>
        <v>#VALUE!</v>
      </c>
      <c r="EZ80" s="959" t="e">
        <f t="shared" si="176"/>
        <v>#VALUE!</v>
      </c>
      <c r="FA80" s="960" t="e">
        <f t="shared" si="177"/>
        <v>#VALUE!</v>
      </c>
      <c r="FB80" s="880" t="str">
        <f t="shared" si="178"/>
        <v/>
      </c>
      <c r="FC80" s="881" t="str">
        <f t="shared" si="179"/>
        <v/>
      </c>
      <c r="FD80" s="512">
        <f t="shared" si="180"/>
        <v>0</v>
      </c>
      <c r="FE80" s="513">
        <f t="shared" si="181"/>
        <v>0</v>
      </c>
      <c r="FF80" s="754" t="b">
        <f t="shared" si="106"/>
        <v>0</v>
      </c>
      <c r="FG80" s="754" t="b">
        <f t="shared" si="107"/>
        <v>0</v>
      </c>
      <c r="FH80" s="754" t="b">
        <f t="shared" si="108"/>
        <v>0</v>
      </c>
      <c r="FI80" s="917" t="b">
        <f t="shared" si="109"/>
        <v>0</v>
      </c>
      <c r="FJ80" s="920" t="str">
        <f t="shared" si="119"/>
        <v/>
      </c>
      <c r="FK80" s="919" t="str">
        <f t="shared" si="120"/>
        <v/>
      </c>
      <c r="FL80" s="320" t="e">
        <f t="shared" si="121"/>
        <v>#N/A</v>
      </c>
      <c r="FM80" s="312" t="str">
        <f t="shared" si="110"/>
        <v/>
      </c>
      <c r="FN80" s="272" t="str">
        <f t="shared" ca="1" si="122"/>
        <v/>
      </c>
      <c r="FO80" s="273" t="str">
        <f t="shared" ca="1" si="123"/>
        <v/>
      </c>
      <c r="FP80" s="274" t="str">
        <f t="shared" ca="1" si="124"/>
        <v/>
      </c>
      <c r="FQ80" s="274" t="str">
        <f t="shared" ca="1" si="125"/>
        <v/>
      </c>
      <c r="FR80" s="321">
        <f t="shared" ca="1" si="126"/>
        <v>0</v>
      </c>
      <c r="FS80" s="322">
        <f t="shared" ca="1" si="127"/>
        <v>0</v>
      </c>
      <c r="FT80" s="272" t="str">
        <f t="shared" ca="1" si="132"/>
        <v/>
      </c>
      <c r="FU80" s="275" t="str">
        <f t="shared" ca="1" si="133"/>
        <v/>
      </c>
      <c r="FV80" s="323" t="str">
        <f t="shared" ca="1" si="134"/>
        <v/>
      </c>
      <c r="FW80" s="276" t="str">
        <f t="shared" ca="1" si="128"/>
        <v/>
      </c>
      <c r="FX80" s="276" t="str">
        <f t="shared" ca="1" si="129"/>
        <v/>
      </c>
      <c r="FY80" s="276" t="str">
        <f t="shared" ca="1" si="135"/>
        <v/>
      </c>
      <c r="FZ80" s="276" t="str">
        <f t="shared" ca="1" si="130"/>
        <v/>
      </c>
      <c r="GA80" s="276" t="str">
        <f t="shared" ca="1" si="136"/>
        <v/>
      </c>
      <c r="GB80" s="277" t="str">
        <f ca="1">IF(FY80="","",2+SUM(FO80:OFFSET(FO80,(FU80-1)*-1,0)))</f>
        <v/>
      </c>
      <c r="GC80" s="316" t="e">
        <f t="shared" si="131"/>
        <v>#N/A</v>
      </c>
      <c r="GD80" s="324" t="str">
        <f t="shared" si="111"/>
        <v/>
      </c>
      <c r="GE80" s="325" t="str">
        <f t="shared" si="112"/>
        <v/>
      </c>
      <c r="GF80" s="278" t="str">
        <f t="shared" si="113"/>
        <v/>
      </c>
      <c r="GG80" s="279" t="str">
        <f t="shared" si="114"/>
        <v/>
      </c>
      <c r="GH80" s="279" t="str">
        <f t="shared" si="115"/>
        <v/>
      </c>
      <c r="GI80" s="280" t="str">
        <f t="shared" si="116"/>
        <v/>
      </c>
      <c r="GJ80" s="326">
        <f t="shared" ca="1" si="117"/>
        <v>0</v>
      </c>
      <c r="GK80" s="913" t="str">
        <f t="shared" ca="1" si="118"/>
        <v/>
      </c>
    </row>
    <row r="81" spans="1:238" ht="12.6" hidden="1" customHeight="1" x14ac:dyDescent="0.2">
      <c r="BZ81" s="293"/>
      <c r="CA81" s="293"/>
      <c r="CB81" s="365" t="str">
        <f t="shared" si="137"/>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38"/>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39"/>
        <v>0</v>
      </c>
      <c r="CU81" s="369">
        <f t="shared" si="140"/>
        <v>0</v>
      </c>
      <c r="CV81" s="274" t="str">
        <f t="shared" si="141"/>
        <v/>
      </c>
      <c r="CW81" s="274" t="str">
        <f t="shared" si="142"/>
        <v/>
      </c>
      <c r="CX81" s="873" t="str">
        <f t="shared" si="143"/>
        <v/>
      </c>
      <c r="CY81" s="874">
        <f t="shared" si="144"/>
        <v>0</v>
      </c>
      <c r="CZ81" s="874">
        <f t="shared" si="145"/>
        <v>0</v>
      </c>
      <c r="DA81" s="874" t="str">
        <f t="shared" si="146"/>
        <v/>
      </c>
      <c r="DB81" s="1310" t="str">
        <f t="shared" si="182"/>
        <v/>
      </c>
      <c r="DC81" s="1310" t="str">
        <f t="shared" si="147"/>
        <v/>
      </c>
      <c r="DD81" s="1311">
        <f t="shared" si="183"/>
        <v>0</v>
      </c>
      <c r="DE81" s="1310">
        <f t="shared" si="148"/>
        <v>0</v>
      </c>
      <c r="DF81" s="1312">
        <f t="shared" si="149"/>
        <v>0</v>
      </c>
      <c r="DG81" s="1312" t="str">
        <f t="shared" si="150"/>
        <v/>
      </c>
      <c r="DH81" s="1310" t="str">
        <f t="shared" si="184"/>
        <v/>
      </c>
      <c r="DI81" s="1310" t="str">
        <f t="shared" si="151"/>
        <v/>
      </c>
      <c r="DJ81" s="1311">
        <f t="shared" si="185"/>
        <v>0</v>
      </c>
      <c r="DK81" s="1310" t="str">
        <f t="shared" si="186"/>
        <v/>
      </c>
      <c r="DL81" s="1310" t="str">
        <f t="shared" si="187"/>
        <v/>
      </c>
      <c r="DM81" s="1310" t="str">
        <f t="shared" si="152"/>
        <v/>
      </c>
      <c r="DN81" s="1310" t="str">
        <f t="shared" si="153"/>
        <v/>
      </c>
      <c r="DO81" s="889" t="str">
        <f t="shared" si="154"/>
        <v>ERR</v>
      </c>
      <c r="DP81" s="889" t="str">
        <f t="shared" si="155"/>
        <v>ERR</v>
      </c>
      <c r="DQ81" s="1310" t="str">
        <f t="shared" si="188"/>
        <v/>
      </c>
      <c r="DR81" s="1310" t="str">
        <f t="shared" si="188"/>
        <v/>
      </c>
      <c r="DS81" s="1310" t="str">
        <f t="shared" si="189"/>
        <v/>
      </c>
      <c r="DT81" s="1310" t="str">
        <f t="shared" si="156"/>
        <v/>
      </c>
      <c r="DU81" s="1310" t="str">
        <f t="shared" si="157"/>
        <v/>
      </c>
      <c r="DV81" s="889" t="str">
        <f t="shared" si="158"/>
        <v>ERR</v>
      </c>
      <c r="DW81" s="889" t="str">
        <f t="shared" si="159"/>
        <v>ERR</v>
      </c>
      <c r="DX81" s="873" t="str">
        <f t="shared" si="190"/>
        <v/>
      </c>
      <c r="DY81" s="873" t="str">
        <f t="shared" si="190"/>
        <v/>
      </c>
      <c r="DZ81" s="873" t="str">
        <f t="shared" si="199"/>
        <v/>
      </c>
      <c r="EA81" s="873" t="str">
        <f t="shared" si="200"/>
        <v/>
      </c>
      <c r="EB81" s="876" t="str">
        <f t="shared" si="160"/>
        <v/>
      </c>
      <c r="EC81" s="877" t="str">
        <f t="shared" si="191"/>
        <v/>
      </c>
      <c r="ED81" s="876" t="str">
        <f t="shared" si="161"/>
        <v/>
      </c>
      <c r="EE81" s="876" t="str">
        <f t="shared" si="162"/>
        <v/>
      </c>
      <c r="EF81" s="876" t="str">
        <f t="shared" si="163"/>
        <v/>
      </c>
      <c r="EG81" s="876" t="str">
        <f t="shared" si="164"/>
        <v/>
      </c>
      <c r="EH81" s="876" t="str">
        <f t="shared" si="165"/>
        <v/>
      </c>
      <c r="EI81" s="876" t="str">
        <f t="shared" si="166"/>
        <v/>
      </c>
      <c r="EJ81" s="876" t="str">
        <f t="shared" si="167"/>
        <v/>
      </c>
      <c r="EK81" s="874">
        <f t="shared" si="192"/>
        <v>0</v>
      </c>
      <c r="EL81" s="874">
        <f t="shared" si="193"/>
        <v>0</v>
      </c>
      <c r="EM81" s="874">
        <f t="shared" si="168"/>
        <v>0</v>
      </c>
      <c r="EN81" s="874" t="str">
        <f t="shared" si="169"/>
        <v/>
      </c>
      <c r="EO81" s="873" t="str">
        <f t="shared" si="194"/>
        <v/>
      </c>
      <c r="EP81" s="874">
        <f t="shared" si="195"/>
        <v>0</v>
      </c>
      <c r="EQ81" s="874">
        <f t="shared" si="196"/>
        <v>0</v>
      </c>
      <c r="ER81" s="874">
        <f t="shared" si="170"/>
        <v>0</v>
      </c>
      <c r="ES81" s="874" t="str">
        <f t="shared" si="171"/>
        <v/>
      </c>
      <c r="ET81" s="873" t="str">
        <f t="shared" si="197"/>
        <v/>
      </c>
      <c r="EU81" s="873">
        <f t="shared" si="172"/>
        <v>0</v>
      </c>
      <c r="EV81" s="876" t="e">
        <f t="shared" si="173"/>
        <v>#VALUE!</v>
      </c>
      <c r="EW81" s="876" t="e">
        <f t="shared" si="174"/>
        <v>#VALUE!</v>
      </c>
      <c r="EX81" s="942" t="str">
        <f t="shared" si="175"/>
        <v/>
      </c>
      <c r="EY81" s="879" t="e">
        <f t="shared" si="198"/>
        <v>#VALUE!</v>
      </c>
      <c r="EZ81" s="959" t="e">
        <f t="shared" si="176"/>
        <v>#VALUE!</v>
      </c>
      <c r="FA81" s="960" t="e">
        <f t="shared" si="177"/>
        <v>#VALUE!</v>
      </c>
      <c r="FB81" s="880" t="str">
        <f t="shared" si="178"/>
        <v/>
      </c>
      <c r="FC81" s="881" t="str">
        <f t="shared" si="179"/>
        <v/>
      </c>
      <c r="FD81" s="512">
        <f t="shared" si="180"/>
        <v>0</v>
      </c>
      <c r="FE81" s="513">
        <f t="shared" si="181"/>
        <v>0</v>
      </c>
      <c r="FF81" s="754" t="b">
        <f t="shared" si="106"/>
        <v>0</v>
      </c>
      <c r="FG81" s="754" t="b">
        <f t="shared" si="107"/>
        <v>0</v>
      </c>
      <c r="FH81" s="754" t="b">
        <f t="shared" si="108"/>
        <v>0</v>
      </c>
      <c r="FI81" s="917" t="b">
        <f t="shared" si="109"/>
        <v>0</v>
      </c>
      <c r="FJ81" s="920" t="str">
        <f t="shared" si="119"/>
        <v/>
      </c>
      <c r="FK81" s="919" t="str">
        <f t="shared" si="120"/>
        <v/>
      </c>
      <c r="FL81" s="320" t="e">
        <f t="shared" si="121"/>
        <v>#N/A</v>
      </c>
      <c r="FM81" s="312" t="str">
        <f t="shared" si="110"/>
        <v/>
      </c>
      <c r="FN81" s="272" t="str">
        <f t="shared" ca="1" si="122"/>
        <v/>
      </c>
      <c r="FO81" s="273" t="str">
        <f t="shared" ca="1" si="123"/>
        <v/>
      </c>
      <c r="FP81" s="274" t="str">
        <f t="shared" ca="1" si="124"/>
        <v/>
      </c>
      <c r="FQ81" s="274" t="str">
        <f t="shared" ca="1" si="125"/>
        <v/>
      </c>
      <c r="FR81" s="321">
        <f t="shared" ca="1" si="126"/>
        <v>0</v>
      </c>
      <c r="FS81" s="322">
        <f t="shared" ca="1" si="127"/>
        <v>0</v>
      </c>
      <c r="FT81" s="272" t="str">
        <f t="shared" ca="1" si="132"/>
        <v/>
      </c>
      <c r="FU81" s="275" t="str">
        <f t="shared" ca="1" si="133"/>
        <v/>
      </c>
      <c r="FV81" s="323" t="str">
        <f t="shared" ca="1" si="134"/>
        <v/>
      </c>
      <c r="FW81" s="276" t="str">
        <f t="shared" ca="1" si="128"/>
        <v/>
      </c>
      <c r="FX81" s="276" t="str">
        <f t="shared" ca="1" si="129"/>
        <v/>
      </c>
      <c r="FY81" s="276" t="str">
        <f t="shared" ca="1" si="135"/>
        <v/>
      </c>
      <c r="FZ81" s="276" t="str">
        <f t="shared" ca="1" si="130"/>
        <v/>
      </c>
      <c r="GA81" s="276" t="str">
        <f t="shared" ca="1" si="136"/>
        <v/>
      </c>
      <c r="GB81" s="277" t="str">
        <f ca="1">IF(FY81="","",2+SUM(FO81:OFFSET(FO81,(FU81-1)*-1,0)))</f>
        <v/>
      </c>
      <c r="GC81" s="316" t="e">
        <f t="shared" si="131"/>
        <v>#N/A</v>
      </c>
      <c r="GD81" s="324" t="str">
        <f t="shared" si="111"/>
        <v/>
      </c>
      <c r="GE81" s="325" t="str">
        <f t="shared" si="112"/>
        <v/>
      </c>
      <c r="GF81" s="278" t="str">
        <f t="shared" si="113"/>
        <v/>
      </c>
      <c r="GG81" s="279" t="str">
        <f t="shared" si="114"/>
        <v/>
      </c>
      <c r="GH81" s="279" t="str">
        <f t="shared" si="115"/>
        <v/>
      </c>
      <c r="GI81" s="280" t="str">
        <f t="shared" si="116"/>
        <v/>
      </c>
      <c r="GJ81" s="326">
        <f t="shared" ca="1" si="117"/>
        <v>0</v>
      </c>
      <c r="GK81" s="913" t="str">
        <f t="shared" ca="1" si="118"/>
        <v/>
      </c>
    </row>
    <row r="82" spans="1:238" ht="12.6" hidden="1" customHeight="1" x14ac:dyDescent="0.2">
      <c r="BZ82" s="293"/>
      <c r="CA82" s="293"/>
      <c r="CB82" s="365" t="str">
        <f t="shared" si="137"/>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38"/>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39"/>
        <v>0</v>
      </c>
      <c r="CU82" s="369">
        <f t="shared" si="140"/>
        <v>0</v>
      </c>
      <c r="CV82" s="274" t="str">
        <f t="shared" si="141"/>
        <v/>
      </c>
      <c r="CW82" s="274" t="str">
        <f t="shared" si="142"/>
        <v/>
      </c>
      <c r="CX82" s="873" t="str">
        <f t="shared" si="143"/>
        <v/>
      </c>
      <c r="CY82" s="874">
        <f t="shared" si="144"/>
        <v>0</v>
      </c>
      <c r="CZ82" s="874">
        <f t="shared" si="145"/>
        <v>0</v>
      </c>
      <c r="DA82" s="874" t="str">
        <f t="shared" si="146"/>
        <v/>
      </c>
      <c r="DB82" s="1310" t="str">
        <f t="shared" si="182"/>
        <v/>
      </c>
      <c r="DC82" s="1310" t="str">
        <f t="shared" si="147"/>
        <v/>
      </c>
      <c r="DD82" s="1311">
        <f t="shared" si="183"/>
        <v>0</v>
      </c>
      <c r="DE82" s="1310">
        <f t="shared" si="148"/>
        <v>0</v>
      </c>
      <c r="DF82" s="1312">
        <f t="shared" si="149"/>
        <v>0</v>
      </c>
      <c r="DG82" s="1312" t="str">
        <f t="shared" si="150"/>
        <v/>
      </c>
      <c r="DH82" s="1310" t="str">
        <f t="shared" si="184"/>
        <v/>
      </c>
      <c r="DI82" s="1310" t="str">
        <f t="shared" si="151"/>
        <v/>
      </c>
      <c r="DJ82" s="1311">
        <f t="shared" si="185"/>
        <v>0</v>
      </c>
      <c r="DK82" s="1310" t="str">
        <f t="shared" si="186"/>
        <v/>
      </c>
      <c r="DL82" s="1310" t="str">
        <f t="shared" si="187"/>
        <v/>
      </c>
      <c r="DM82" s="1310" t="str">
        <f t="shared" si="152"/>
        <v/>
      </c>
      <c r="DN82" s="1310" t="str">
        <f t="shared" si="153"/>
        <v/>
      </c>
      <c r="DO82" s="889" t="str">
        <f t="shared" si="154"/>
        <v>ERR</v>
      </c>
      <c r="DP82" s="889" t="str">
        <f t="shared" si="155"/>
        <v>ERR</v>
      </c>
      <c r="DQ82" s="1310" t="str">
        <f t="shared" si="188"/>
        <v/>
      </c>
      <c r="DR82" s="1310" t="str">
        <f t="shared" si="188"/>
        <v/>
      </c>
      <c r="DS82" s="1310" t="str">
        <f t="shared" si="189"/>
        <v/>
      </c>
      <c r="DT82" s="1310" t="str">
        <f t="shared" si="156"/>
        <v/>
      </c>
      <c r="DU82" s="1310" t="str">
        <f t="shared" si="157"/>
        <v/>
      </c>
      <c r="DV82" s="889" t="str">
        <f t="shared" si="158"/>
        <v>ERR</v>
      </c>
      <c r="DW82" s="889" t="str">
        <f t="shared" si="159"/>
        <v>ERR</v>
      </c>
      <c r="DX82" s="873" t="str">
        <f t="shared" si="190"/>
        <v/>
      </c>
      <c r="DY82" s="873" t="str">
        <f t="shared" si="190"/>
        <v/>
      </c>
      <c r="DZ82" s="873" t="str">
        <f t="shared" si="199"/>
        <v/>
      </c>
      <c r="EA82" s="873" t="str">
        <f t="shared" si="200"/>
        <v/>
      </c>
      <c r="EB82" s="876" t="str">
        <f t="shared" si="160"/>
        <v/>
      </c>
      <c r="EC82" s="877" t="str">
        <f t="shared" si="191"/>
        <v/>
      </c>
      <c r="ED82" s="876" t="str">
        <f t="shared" si="161"/>
        <v/>
      </c>
      <c r="EE82" s="876" t="str">
        <f t="shared" si="162"/>
        <v/>
      </c>
      <c r="EF82" s="876" t="str">
        <f t="shared" si="163"/>
        <v/>
      </c>
      <c r="EG82" s="876" t="str">
        <f t="shared" si="164"/>
        <v/>
      </c>
      <c r="EH82" s="876" t="str">
        <f t="shared" si="165"/>
        <v/>
      </c>
      <c r="EI82" s="876" t="str">
        <f t="shared" si="166"/>
        <v/>
      </c>
      <c r="EJ82" s="876" t="str">
        <f t="shared" si="167"/>
        <v/>
      </c>
      <c r="EK82" s="874">
        <f t="shared" si="192"/>
        <v>0</v>
      </c>
      <c r="EL82" s="874">
        <f t="shared" si="193"/>
        <v>0</v>
      </c>
      <c r="EM82" s="874">
        <f t="shared" si="168"/>
        <v>0</v>
      </c>
      <c r="EN82" s="874" t="str">
        <f t="shared" si="169"/>
        <v/>
      </c>
      <c r="EO82" s="873" t="str">
        <f t="shared" si="194"/>
        <v/>
      </c>
      <c r="EP82" s="874">
        <f t="shared" si="195"/>
        <v>0</v>
      </c>
      <c r="EQ82" s="874">
        <f t="shared" si="196"/>
        <v>0</v>
      </c>
      <c r="ER82" s="874">
        <f t="shared" si="170"/>
        <v>0</v>
      </c>
      <c r="ES82" s="874" t="str">
        <f t="shared" si="171"/>
        <v/>
      </c>
      <c r="ET82" s="873" t="str">
        <f t="shared" si="197"/>
        <v/>
      </c>
      <c r="EU82" s="873">
        <f t="shared" si="172"/>
        <v>0</v>
      </c>
      <c r="EV82" s="876" t="e">
        <f t="shared" si="173"/>
        <v>#VALUE!</v>
      </c>
      <c r="EW82" s="876" t="e">
        <f t="shared" si="174"/>
        <v>#VALUE!</v>
      </c>
      <c r="EX82" s="942" t="str">
        <f t="shared" si="175"/>
        <v/>
      </c>
      <c r="EY82" s="879" t="e">
        <f t="shared" si="198"/>
        <v>#VALUE!</v>
      </c>
      <c r="EZ82" s="959" t="e">
        <f t="shared" si="176"/>
        <v>#VALUE!</v>
      </c>
      <c r="FA82" s="960" t="e">
        <f t="shared" si="177"/>
        <v>#VALUE!</v>
      </c>
      <c r="FB82" s="880" t="str">
        <f t="shared" si="178"/>
        <v/>
      </c>
      <c r="FC82" s="881" t="str">
        <f t="shared" si="179"/>
        <v/>
      </c>
      <c r="FD82" s="512">
        <f t="shared" si="180"/>
        <v>0</v>
      </c>
      <c r="FE82" s="513">
        <f t="shared" si="181"/>
        <v>0</v>
      </c>
      <c r="FF82" s="754" t="b">
        <f t="shared" si="106"/>
        <v>0</v>
      </c>
      <c r="FG82" s="754" t="b">
        <f t="shared" si="107"/>
        <v>0</v>
      </c>
      <c r="FH82" s="754" t="b">
        <f t="shared" si="108"/>
        <v>0</v>
      </c>
      <c r="FI82" s="917" t="b">
        <f t="shared" si="109"/>
        <v>0</v>
      </c>
      <c r="FJ82" s="920" t="str">
        <f t="shared" si="119"/>
        <v/>
      </c>
      <c r="FK82" s="919" t="str">
        <f t="shared" si="120"/>
        <v/>
      </c>
      <c r="FL82" s="320" t="e">
        <f t="shared" si="121"/>
        <v>#N/A</v>
      </c>
      <c r="FM82" s="312" t="str">
        <f t="shared" si="110"/>
        <v/>
      </c>
      <c r="FN82" s="272" t="str">
        <f t="shared" ca="1" si="122"/>
        <v/>
      </c>
      <c r="FO82" s="273" t="str">
        <f t="shared" ca="1" si="123"/>
        <v/>
      </c>
      <c r="FP82" s="274" t="str">
        <f t="shared" ca="1" si="124"/>
        <v/>
      </c>
      <c r="FQ82" s="274" t="str">
        <f t="shared" ca="1" si="125"/>
        <v/>
      </c>
      <c r="FR82" s="321">
        <f t="shared" ca="1" si="126"/>
        <v>0</v>
      </c>
      <c r="FS82" s="322">
        <f t="shared" ca="1" si="127"/>
        <v>0</v>
      </c>
      <c r="FT82" s="272" t="str">
        <f t="shared" ca="1" si="132"/>
        <v/>
      </c>
      <c r="FU82" s="275" t="str">
        <f t="shared" ca="1" si="133"/>
        <v/>
      </c>
      <c r="FV82" s="323" t="str">
        <f t="shared" ca="1" si="134"/>
        <v/>
      </c>
      <c r="FW82" s="276" t="str">
        <f t="shared" ca="1" si="128"/>
        <v/>
      </c>
      <c r="FX82" s="276" t="str">
        <f t="shared" ca="1" si="129"/>
        <v/>
      </c>
      <c r="FY82" s="276" t="str">
        <f t="shared" ca="1" si="135"/>
        <v/>
      </c>
      <c r="FZ82" s="276" t="str">
        <f t="shared" ca="1" si="130"/>
        <v/>
      </c>
      <c r="GA82" s="276" t="str">
        <f t="shared" ca="1" si="136"/>
        <v/>
      </c>
      <c r="GB82" s="277" t="str">
        <f ca="1">IF(FY82="","",2+SUM(FO82:OFFSET(FO82,(FU82-1)*-1,0)))</f>
        <v/>
      </c>
      <c r="GC82" s="316" t="e">
        <f t="shared" si="131"/>
        <v>#N/A</v>
      </c>
      <c r="GD82" s="324" t="str">
        <f t="shared" si="111"/>
        <v/>
      </c>
      <c r="GE82" s="325" t="str">
        <f t="shared" si="112"/>
        <v/>
      </c>
      <c r="GF82" s="278" t="str">
        <f t="shared" si="113"/>
        <v/>
      </c>
      <c r="GG82" s="279" t="str">
        <f t="shared" si="114"/>
        <v/>
      </c>
      <c r="GH82" s="279" t="str">
        <f t="shared" si="115"/>
        <v/>
      </c>
      <c r="GI82" s="280" t="str">
        <f t="shared" si="116"/>
        <v/>
      </c>
      <c r="GJ82" s="326">
        <f t="shared" ca="1" si="117"/>
        <v>0</v>
      </c>
      <c r="GK82" s="913" t="str">
        <f t="shared" ca="1" si="118"/>
        <v/>
      </c>
    </row>
    <row r="83" spans="1:238" ht="12.6" hidden="1" customHeight="1" x14ac:dyDescent="0.2">
      <c r="BZ83" s="293"/>
      <c r="CA83" s="293"/>
      <c r="CB83" s="365" t="str">
        <f t="shared" si="137"/>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38"/>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39"/>
        <v>0</v>
      </c>
      <c r="CU83" s="369">
        <f t="shared" si="140"/>
        <v>0</v>
      </c>
      <c r="CV83" s="274" t="str">
        <f t="shared" si="141"/>
        <v/>
      </c>
      <c r="CW83" s="274" t="str">
        <f t="shared" si="142"/>
        <v/>
      </c>
      <c r="CX83" s="873" t="str">
        <f t="shared" si="143"/>
        <v/>
      </c>
      <c r="CY83" s="874">
        <f t="shared" si="144"/>
        <v>0</v>
      </c>
      <c r="CZ83" s="874">
        <f t="shared" si="145"/>
        <v>0</v>
      </c>
      <c r="DA83" s="874" t="str">
        <f t="shared" si="146"/>
        <v/>
      </c>
      <c r="DB83" s="1310" t="str">
        <f t="shared" si="182"/>
        <v/>
      </c>
      <c r="DC83" s="1310" t="str">
        <f t="shared" si="147"/>
        <v/>
      </c>
      <c r="DD83" s="1311">
        <f t="shared" si="183"/>
        <v>0</v>
      </c>
      <c r="DE83" s="1310">
        <f t="shared" si="148"/>
        <v>0</v>
      </c>
      <c r="DF83" s="1312">
        <f t="shared" si="149"/>
        <v>0</v>
      </c>
      <c r="DG83" s="1312" t="str">
        <f t="shared" si="150"/>
        <v/>
      </c>
      <c r="DH83" s="1310" t="str">
        <f t="shared" si="184"/>
        <v/>
      </c>
      <c r="DI83" s="1310" t="str">
        <f t="shared" si="151"/>
        <v/>
      </c>
      <c r="DJ83" s="1311">
        <f t="shared" si="185"/>
        <v>0</v>
      </c>
      <c r="DK83" s="1310" t="str">
        <f t="shared" si="186"/>
        <v/>
      </c>
      <c r="DL83" s="1310" t="str">
        <f t="shared" si="187"/>
        <v/>
      </c>
      <c r="DM83" s="1310" t="str">
        <f t="shared" si="152"/>
        <v/>
      </c>
      <c r="DN83" s="1310" t="str">
        <f t="shared" si="153"/>
        <v/>
      </c>
      <c r="DO83" s="889" t="str">
        <f t="shared" si="154"/>
        <v>ERR</v>
      </c>
      <c r="DP83" s="889" t="str">
        <f t="shared" si="155"/>
        <v>ERR</v>
      </c>
      <c r="DQ83" s="1310" t="str">
        <f t="shared" si="188"/>
        <v/>
      </c>
      <c r="DR83" s="1310" t="str">
        <f t="shared" si="188"/>
        <v/>
      </c>
      <c r="DS83" s="1310" t="str">
        <f t="shared" si="189"/>
        <v/>
      </c>
      <c r="DT83" s="1310" t="str">
        <f t="shared" si="156"/>
        <v/>
      </c>
      <c r="DU83" s="1310" t="str">
        <f t="shared" si="157"/>
        <v/>
      </c>
      <c r="DV83" s="889" t="str">
        <f t="shared" si="158"/>
        <v>ERR</v>
      </c>
      <c r="DW83" s="889" t="str">
        <f t="shared" si="159"/>
        <v>ERR</v>
      </c>
      <c r="DX83" s="873" t="str">
        <f t="shared" si="190"/>
        <v/>
      </c>
      <c r="DY83" s="873" t="str">
        <f t="shared" si="190"/>
        <v/>
      </c>
      <c r="DZ83" s="873" t="str">
        <f t="shared" si="199"/>
        <v/>
      </c>
      <c r="EA83" s="873" t="str">
        <f t="shared" si="200"/>
        <v/>
      </c>
      <c r="EB83" s="876" t="str">
        <f t="shared" si="160"/>
        <v/>
      </c>
      <c r="EC83" s="877" t="str">
        <f t="shared" si="191"/>
        <v/>
      </c>
      <c r="ED83" s="876" t="str">
        <f t="shared" si="161"/>
        <v/>
      </c>
      <c r="EE83" s="876" t="str">
        <f t="shared" si="162"/>
        <v/>
      </c>
      <c r="EF83" s="876" t="str">
        <f t="shared" si="163"/>
        <v/>
      </c>
      <c r="EG83" s="876" t="str">
        <f t="shared" si="164"/>
        <v/>
      </c>
      <c r="EH83" s="876" t="str">
        <f t="shared" si="165"/>
        <v/>
      </c>
      <c r="EI83" s="876" t="str">
        <f t="shared" si="166"/>
        <v/>
      </c>
      <c r="EJ83" s="876" t="str">
        <f t="shared" si="167"/>
        <v/>
      </c>
      <c r="EK83" s="874">
        <f t="shared" si="192"/>
        <v>0</v>
      </c>
      <c r="EL83" s="874">
        <f t="shared" si="193"/>
        <v>0</v>
      </c>
      <c r="EM83" s="874">
        <f t="shared" si="168"/>
        <v>0</v>
      </c>
      <c r="EN83" s="874" t="str">
        <f t="shared" si="169"/>
        <v/>
      </c>
      <c r="EO83" s="873" t="str">
        <f t="shared" si="194"/>
        <v/>
      </c>
      <c r="EP83" s="874">
        <f t="shared" si="195"/>
        <v>0</v>
      </c>
      <c r="EQ83" s="874">
        <f t="shared" si="196"/>
        <v>0</v>
      </c>
      <c r="ER83" s="874">
        <f t="shared" si="170"/>
        <v>0</v>
      </c>
      <c r="ES83" s="874" t="str">
        <f t="shared" si="171"/>
        <v/>
      </c>
      <c r="ET83" s="873" t="str">
        <f t="shared" si="197"/>
        <v/>
      </c>
      <c r="EU83" s="873">
        <f t="shared" si="172"/>
        <v>0</v>
      </c>
      <c r="EV83" s="876" t="e">
        <f t="shared" si="173"/>
        <v>#VALUE!</v>
      </c>
      <c r="EW83" s="876" t="e">
        <f t="shared" si="174"/>
        <v>#VALUE!</v>
      </c>
      <c r="EX83" s="942" t="str">
        <f t="shared" si="175"/>
        <v/>
      </c>
      <c r="EY83" s="879" t="e">
        <f t="shared" si="198"/>
        <v>#VALUE!</v>
      </c>
      <c r="EZ83" s="959" t="e">
        <f t="shared" si="176"/>
        <v>#VALUE!</v>
      </c>
      <c r="FA83" s="960" t="e">
        <f t="shared" si="177"/>
        <v>#VALUE!</v>
      </c>
      <c r="FB83" s="880" t="str">
        <f t="shared" si="178"/>
        <v/>
      </c>
      <c r="FC83" s="881" t="str">
        <f t="shared" si="179"/>
        <v/>
      </c>
      <c r="FD83" s="512">
        <f t="shared" si="180"/>
        <v>0</v>
      </c>
      <c r="FE83" s="513">
        <f t="shared" si="181"/>
        <v>0</v>
      </c>
      <c r="FF83" s="754" t="b">
        <f t="shared" si="106"/>
        <v>0</v>
      </c>
      <c r="FG83" s="754" t="b">
        <f t="shared" si="107"/>
        <v>0</v>
      </c>
      <c r="FH83" s="754" t="b">
        <f t="shared" si="108"/>
        <v>0</v>
      </c>
      <c r="FI83" s="917" t="b">
        <f t="shared" si="109"/>
        <v>0</v>
      </c>
      <c r="FJ83" s="920" t="str">
        <f t="shared" si="119"/>
        <v/>
      </c>
      <c r="FK83" s="919" t="str">
        <f t="shared" si="120"/>
        <v/>
      </c>
      <c r="FL83" s="320" t="e">
        <f t="shared" si="121"/>
        <v>#N/A</v>
      </c>
      <c r="FM83" s="312" t="str">
        <f t="shared" si="110"/>
        <v/>
      </c>
      <c r="FN83" s="272" t="str">
        <f t="shared" ca="1" si="122"/>
        <v/>
      </c>
      <c r="FO83" s="273" t="str">
        <f t="shared" ca="1" si="123"/>
        <v/>
      </c>
      <c r="FP83" s="274" t="str">
        <f t="shared" ca="1" si="124"/>
        <v/>
      </c>
      <c r="FQ83" s="274" t="str">
        <f t="shared" ca="1" si="125"/>
        <v/>
      </c>
      <c r="FR83" s="321">
        <f t="shared" ca="1" si="126"/>
        <v>0</v>
      </c>
      <c r="FS83" s="322">
        <f t="shared" ca="1" si="127"/>
        <v>0</v>
      </c>
      <c r="FT83" s="272" t="str">
        <f t="shared" ca="1" si="132"/>
        <v/>
      </c>
      <c r="FU83" s="275" t="str">
        <f t="shared" ca="1" si="133"/>
        <v/>
      </c>
      <c r="FV83" s="323" t="str">
        <f t="shared" ca="1" si="134"/>
        <v/>
      </c>
      <c r="FW83" s="276" t="str">
        <f t="shared" ca="1" si="128"/>
        <v/>
      </c>
      <c r="FX83" s="276" t="str">
        <f t="shared" ca="1" si="129"/>
        <v/>
      </c>
      <c r="FY83" s="276" t="str">
        <f t="shared" ca="1" si="135"/>
        <v/>
      </c>
      <c r="FZ83" s="276" t="str">
        <f t="shared" ca="1" si="130"/>
        <v/>
      </c>
      <c r="GA83" s="276" t="str">
        <f t="shared" ca="1" si="136"/>
        <v/>
      </c>
      <c r="GB83" s="277" t="str">
        <f ca="1">IF(FY83="","",2+SUM(FO83:OFFSET(FO83,(FU83-1)*-1,0)))</f>
        <v/>
      </c>
      <c r="GC83" s="316" t="e">
        <f t="shared" si="131"/>
        <v>#N/A</v>
      </c>
      <c r="GD83" s="324" t="str">
        <f t="shared" si="111"/>
        <v/>
      </c>
      <c r="GE83" s="325" t="str">
        <f t="shared" si="112"/>
        <v/>
      </c>
      <c r="GF83" s="278" t="str">
        <f t="shared" si="113"/>
        <v/>
      </c>
      <c r="GG83" s="279" t="str">
        <f t="shared" si="114"/>
        <v/>
      </c>
      <c r="GH83" s="279" t="str">
        <f t="shared" si="115"/>
        <v/>
      </c>
      <c r="GI83" s="280" t="str">
        <f t="shared" si="116"/>
        <v/>
      </c>
      <c r="GJ83" s="326">
        <f t="shared" ca="1" si="117"/>
        <v>0</v>
      </c>
      <c r="GK83" s="913" t="str">
        <f t="shared" ca="1" si="118"/>
        <v/>
      </c>
    </row>
    <row r="84" spans="1:238" ht="12.6" hidden="1" customHeight="1" x14ac:dyDescent="0.2">
      <c r="BZ84" s="293"/>
      <c r="CA84" s="293"/>
      <c r="CB84" s="365" t="str">
        <f t="shared" si="137"/>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38"/>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39"/>
        <v>0</v>
      </c>
      <c r="CU84" s="369">
        <f t="shared" si="140"/>
        <v>0</v>
      </c>
      <c r="CV84" s="274" t="str">
        <f t="shared" si="141"/>
        <v/>
      </c>
      <c r="CW84" s="274" t="str">
        <f t="shared" si="142"/>
        <v/>
      </c>
      <c r="CX84" s="873" t="str">
        <f t="shared" si="143"/>
        <v/>
      </c>
      <c r="CY84" s="874">
        <f t="shared" si="144"/>
        <v>0</v>
      </c>
      <c r="CZ84" s="874">
        <f t="shared" si="145"/>
        <v>0</v>
      </c>
      <c r="DA84" s="874" t="str">
        <f t="shared" si="146"/>
        <v/>
      </c>
      <c r="DB84" s="1310" t="str">
        <f t="shared" si="182"/>
        <v/>
      </c>
      <c r="DC84" s="1310" t="str">
        <f t="shared" si="147"/>
        <v/>
      </c>
      <c r="DD84" s="1311">
        <f t="shared" si="183"/>
        <v>0</v>
      </c>
      <c r="DE84" s="1310">
        <f t="shared" si="148"/>
        <v>0</v>
      </c>
      <c r="DF84" s="1312">
        <f t="shared" si="149"/>
        <v>0</v>
      </c>
      <c r="DG84" s="1312" t="str">
        <f t="shared" si="150"/>
        <v/>
      </c>
      <c r="DH84" s="1310" t="str">
        <f t="shared" si="184"/>
        <v/>
      </c>
      <c r="DI84" s="1310" t="str">
        <f t="shared" si="151"/>
        <v/>
      </c>
      <c r="DJ84" s="1311">
        <f t="shared" si="185"/>
        <v>0</v>
      </c>
      <c r="DK84" s="1310" t="str">
        <f t="shared" si="186"/>
        <v/>
      </c>
      <c r="DL84" s="1310" t="str">
        <f t="shared" si="187"/>
        <v/>
      </c>
      <c r="DM84" s="1310" t="str">
        <f t="shared" si="152"/>
        <v/>
      </c>
      <c r="DN84" s="1310" t="str">
        <f t="shared" si="153"/>
        <v/>
      </c>
      <c r="DO84" s="889" t="str">
        <f t="shared" si="154"/>
        <v>ERR</v>
      </c>
      <c r="DP84" s="889" t="str">
        <f t="shared" si="155"/>
        <v>ERR</v>
      </c>
      <c r="DQ84" s="1310" t="str">
        <f t="shared" si="188"/>
        <v/>
      </c>
      <c r="DR84" s="1310" t="str">
        <f t="shared" si="188"/>
        <v/>
      </c>
      <c r="DS84" s="1310" t="str">
        <f t="shared" si="189"/>
        <v/>
      </c>
      <c r="DT84" s="1310" t="str">
        <f t="shared" si="156"/>
        <v/>
      </c>
      <c r="DU84" s="1310" t="str">
        <f t="shared" si="157"/>
        <v/>
      </c>
      <c r="DV84" s="889" t="str">
        <f t="shared" si="158"/>
        <v>ERR</v>
      </c>
      <c r="DW84" s="889" t="str">
        <f t="shared" si="159"/>
        <v>ERR</v>
      </c>
      <c r="DX84" s="873" t="str">
        <f t="shared" si="190"/>
        <v/>
      </c>
      <c r="DY84" s="873" t="str">
        <f t="shared" si="190"/>
        <v/>
      </c>
      <c r="DZ84" s="873" t="str">
        <f t="shared" si="199"/>
        <v/>
      </c>
      <c r="EA84" s="873" t="str">
        <f t="shared" si="200"/>
        <v/>
      </c>
      <c r="EB84" s="876" t="str">
        <f t="shared" si="160"/>
        <v/>
      </c>
      <c r="EC84" s="877" t="str">
        <f t="shared" si="191"/>
        <v/>
      </c>
      <c r="ED84" s="876" t="str">
        <f t="shared" si="161"/>
        <v/>
      </c>
      <c r="EE84" s="876" t="str">
        <f t="shared" si="162"/>
        <v/>
      </c>
      <c r="EF84" s="876" t="str">
        <f t="shared" si="163"/>
        <v/>
      </c>
      <c r="EG84" s="876" t="str">
        <f t="shared" si="164"/>
        <v/>
      </c>
      <c r="EH84" s="876" t="str">
        <f t="shared" si="165"/>
        <v/>
      </c>
      <c r="EI84" s="876" t="str">
        <f t="shared" si="166"/>
        <v/>
      </c>
      <c r="EJ84" s="876" t="str">
        <f t="shared" si="167"/>
        <v/>
      </c>
      <c r="EK84" s="874">
        <f t="shared" si="192"/>
        <v>0</v>
      </c>
      <c r="EL84" s="874">
        <f t="shared" si="193"/>
        <v>0</v>
      </c>
      <c r="EM84" s="874">
        <f t="shared" si="168"/>
        <v>0</v>
      </c>
      <c r="EN84" s="874" t="str">
        <f t="shared" si="169"/>
        <v/>
      </c>
      <c r="EO84" s="873" t="str">
        <f t="shared" si="194"/>
        <v/>
      </c>
      <c r="EP84" s="874">
        <f t="shared" si="195"/>
        <v>0</v>
      </c>
      <c r="EQ84" s="874">
        <f t="shared" si="196"/>
        <v>0</v>
      </c>
      <c r="ER84" s="874">
        <f t="shared" si="170"/>
        <v>0</v>
      </c>
      <c r="ES84" s="874" t="str">
        <f t="shared" si="171"/>
        <v/>
      </c>
      <c r="ET84" s="873" t="str">
        <f t="shared" si="197"/>
        <v/>
      </c>
      <c r="EU84" s="873">
        <f t="shared" si="172"/>
        <v>0</v>
      </c>
      <c r="EV84" s="876" t="e">
        <f t="shared" si="173"/>
        <v>#VALUE!</v>
      </c>
      <c r="EW84" s="876" t="e">
        <f t="shared" si="174"/>
        <v>#VALUE!</v>
      </c>
      <c r="EX84" s="942" t="str">
        <f t="shared" si="175"/>
        <v/>
      </c>
      <c r="EY84" s="879" t="e">
        <f t="shared" si="198"/>
        <v>#DIV/0!</v>
      </c>
      <c r="EZ84" s="959" t="e">
        <f t="shared" si="176"/>
        <v>#DIV/0!</v>
      </c>
      <c r="FA84" s="960" t="e">
        <f t="shared" si="177"/>
        <v>#DIV/0!</v>
      </c>
      <c r="FB84" s="880" t="str">
        <f t="shared" si="178"/>
        <v/>
      </c>
      <c r="FC84" s="881" t="str">
        <f t="shared" si="179"/>
        <v/>
      </c>
      <c r="FD84" s="512">
        <f t="shared" si="180"/>
        <v>0</v>
      </c>
      <c r="FE84" s="513">
        <f t="shared" si="181"/>
        <v>0</v>
      </c>
      <c r="FF84" s="754" t="b">
        <f t="shared" si="106"/>
        <v>0</v>
      </c>
      <c r="FG84" s="754" t="b">
        <f t="shared" si="107"/>
        <v>0</v>
      </c>
      <c r="FH84" s="754" t="b">
        <f t="shared" si="108"/>
        <v>0</v>
      </c>
      <c r="FI84" s="917" t="b">
        <f t="shared" si="109"/>
        <v>0</v>
      </c>
      <c r="FJ84" s="920" t="str">
        <f t="shared" si="119"/>
        <v/>
      </c>
      <c r="FK84" s="919" t="str">
        <f t="shared" si="120"/>
        <v/>
      </c>
      <c r="FL84" s="320" t="e">
        <f t="shared" si="121"/>
        <v>#N/A</v>
      </c>
      <c r="FM84" s="312" t="str">
        <f t="shared" si="110"/>
        <v/>
      </c>
      <c r="FN84" s="272" t="str">
        <f t="shared" ca="1" si="122"/>
        <v/>
      </c>
      <c r="FO84" s="273" t="str">
        <f t="shared" ca="1" si="123"/>
        <v/>
      </c>
      <c r="FP84" s="274" t="str">
        <f t="shared" ca="1" si="124"/>
        <v/>
      </c>
      <c r="FQ84" s="274" t="str">
        <f t="shared" ca="1" si="125"/>
        <v/>
      </c>
      <c r="FR84" s="321">
        <f t="shared" ca="1" si="126"/>
        <v>0</v>
      </c>
      <c r="FS84" s="322">
        <f t="shared" ca="1" si="127"/>
        <v>0</v>
      </c>
      <c r="FT84" s="272" t="str">
        <f t="shared" ca="1" si="132"/>
        <v/>
      </c>
      <c r="FU84" s="275" t="str">
        <f t="shared" ca="1" si="133"/>
        <v/>
      </c>
      <c r="FV84" s="323" t="str">
        <f t="shared" ca="1" si="134"/>
        <v/>
      </c>
      <c r="FW84" s="276" t="str">
        <f t="shared" ca="1" si="128"/>
        <v/>
      </c>
      <c r="FX84" s="276" t="str">
        <f t="shared" ca="1" si="129"/>
        <v/>
      </c>
      <c r="FY84" s="276" t="str">
        <f t="shared" ca="1" si="135"/>
        <v/>
      </c>
      <c r="FZ84" s="276" t="str">
        <f t="shared" ca="1" si="130"/>
        <v/>
      </c>
      <c r="GA84" s="276" t="str">
        <f t="shared" ca="1" si="136"/>
        <v/>
      </c>
      <c r="GB84" s="277" t="str">
        <f ca="1">IF(FY84="","",2+SUM(FO84:OFFSET(FO84,(FU84-1)*-1,0)))</f>
        <v/>
      </c>
      <c r="GC84" s="316" t="e">
        <f t="shared" si="131"/>
        <v>#N/A</v>
      </c>
      <c r="GD84" s="324" t="str">
        <f t="shared" si="111"/>
        <v/>
      </c>
      <c r="GE84" s="325" t="str">
        <f t="shared" si="112"/>
        <v/>
      </c>
      <c r="GF84" s="278" t="str">
        <f t="shared" si="113"/>
        <v/>
      </c>
      <c r="GG84" s="279" t="str">
        <f t="shared" si="114"/>
        <v/>
      </c>
      <c r="GH84" s="279" t="str">
        <f t="shared" si="115"/>
        <v/>
      </c>
      <c r="GI84" s="280" t="str">
        <f t="shared" si="116"/>
        <v/>
      </c>
      <c r="GJ84" s="326">
        <f t="shared" ca="1" si="117"/>
        <v>0</v>
      </c>
      <c r="GK84" s="913" t="str">
        <f t="shared" ca="1" si="118"/>
        <v/>
      </c>
    </row>
    <row r="85" spans="1:238" ht="12.6" hidden="1" customHeight="1" thickBot="1" x14ac:dyDescent="0.25">
      <c r="BZ85" s="293"/>
      <c r="CA85" s="293"/>
      <c r="CB85" s="636" t="str">
        <f t="shared" si="137"/>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38"/>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39"/>
        <v>0</v>
      </c>
      <c r="CU85" s="639">
        <f t="shared" si="140"/>
        <v>0</v>
      </c>
      <c r="CV85" s="283" t="str">
        <f t="shared" si="141"/>
        <v/>
      </c>
      <c r="CW85" s="283" t="str">
        <f t="shared" si="142"/>
        <v/>
      </c>
      <c r="CX85" s="882" t="str">
        <f t="shared" si="143"/>
        <v/>
      </c>
      <c r="CY85" s="883">
        <f t="shared" si="144"/>
        <v>0</v>
      </c>
      <c r="CZ85" s="883">
        <f t="shared" si="145"/>
        <v>0</v>
      </c>
      <c r="DA85" s="883" t="str">
        <f t="shared" si="146"/>
        <v/>
      </c>
      <c r="DB85" s="1313" t="str">
        <f t="shared" si="182"/>
        <v/>
      </c>
      <c r="DC85" s="1313" t="str">
        <f t="shared" si="147"/>
        <v/>
      </c>
      <c r="DD85" s="1314">
        <f t="shared" si="183"/>
        <v>0</v>
      </c>
      <c r="DE85" s="1313">
        <f t="shared" si="148"/>
        <v>0</v>
      </c>
      <c r="DF85" s="1315">
        <f t="shared" si="149"/>
        <v>0</v>
      </c>
      <c r="DG85" s="1315" t="str">
        <f t="shared" si="150"/>
        <v/>
      </c>
      <c r="DH85" s="1313" t="str">
        <f t="shared" si="184"/>
        <v/>
      </c>
      <c r="DI85" s="1313" t="str">
        <f t="shared" si="151"/>
        <v/>
      </c>
      <c r="DJ85" s="1314">
        <f t="shared" si="185"/>
        <v>0</v>
      </c>
      <c r="DK85" s="1313" t="str">
        <f t="shared" si="186"/>
        <v/>
      </c>
      <c r="DL85" s="1313" t="str">
        <f t="shared" si="187"/>
        <v/>
      </c>
      <c r="DM85" s="1313" t="str">
        <f t="shared" si="152"/>
        <v/>
      </c>
      <c r="DN85" s="1313" t="str">
        <f t="shared" si="153"/>
        <v/>
      </c>
      <c r="DO85" s="891" t="str">
        <f t="shared" si="154"/>
        <v>ERR</v>
      </c>
      <c r="DP85" s="891" t="str">
        <f t="shared" si="155"/>
        <v>ERR</v>
      </c>
      <c r="DQ85" s="1313" t="str">
        <f t="shared" si="188"/>
        <v/>
      </c>
      <c r="DR85" s="1313" t="str">
        <f t="shared" si="188"/>
        <v/>
      </c>
      <c r="DS85" s="1313" t="str">
        <f t="shared" si="189"/>
        <v/>
      </c>
      <c r="DT85" s="1313" t="str">
        <f t="shared" si="156"/>
        <v/>
      </c>
      <c r="DU85" s="1313" t="str">
        <f t="shared" si="157"/>
        <v/>
      </c>
      <c r="DV85" s="891" t="str">
        <f t="shared" si="158"/>
        <v>ERR</v>
      </c>
      <c r="DW85" s="891" t="str">
        <f t="shared" si="159"/>
        <v>ERR</v>
      </c>
      <c r="DX85" s="882" t="str">
        <f t="shared" si="190"/>
        <v/>
      </c>
      <c r="DY85" s="882" t="str">
        <f t="shared" si="190"/>
        <v/>
      </c>
      <c r="DZ85" s="882" t="str">
        <f t="shared" si="199"/>
        <v/>
      </c>
      <c r="EA85" s="882" t="str">
        <f t="shared" si="200"/>
        <v/>
      </c>
      <c r="EB85" s="884" t="str">
        <f t="shared" si="160"/>
        <v/>
      </c>
      <c r="EC85" s="885" t="str">
        <f t="shared" si="191"/>
        <v/>
      </c>
      <c r="ED85" s="884" t="str">
        <f t="shared" si="161"/>
        <v/>
      </c>
      <c r="EE85" s="884" t="str">
        <f t="shared" si="162"/>
        <v/>
      </c>
      <c r="EF85" s="884" t="str">
        <f t="shared" si="163"/>
        <v/>
      </c>
      <c r="EG85" s="884" t="str">
        <f t="shared" si="164"/>
        <v/>
      </c>
      <c r="EH85" s="884" t="str">
        <f t="shared" si="165"/>
        <v/>
      </c>
      <c r="EI85" s="884" t="str">
        <f t="shared" si="166"/>
        <v/>
      </c>
      <c r="EJ85" s="884" t="str">
        <f t="shared" si="167"/>
        <v/>
      </c>
      <c r="EK85" s="883">
        <f t="shared" si="192"/>
        <v>0</v>
      </c>
      <c r="EL85" s="883">
        <f t="shared" si="193"/>
        <v>0</v>
      </c>
      <c r="EM85" s="883">
        <f t="shared" si="168"/>
        <v>0</v>
      </c>
      <c r="EN85" s="883" t="str">
        <f t="shared" si="169"/>
        <v/>
      </c>
      <c r="EO85" s="882" t="str">
        <f t="shared" si="194"/>
        <v/>
      </c>
      <c r="EP85" s="883">
        <f t="shared" si="195"/>
        <v>0</v>
      </c>
      <c r="EQ85" s="883">
        <f t="shared" si="196"/>
        <v>0</v>
      </c>
      <c r="ER85" s="883">
        <f t="shared" si="170"/>
        <v>0</v>
      </c>
      <c r="ES85" s="883" t="str">
        <f t="shared" si="171"/>
        <v/>
      </c>
      <c r="ET85" s="882" t="str">
        <f t="shared" si="197"/>
        <v/>
      </c>
      <c r="EU85" s="882">
        <f t="shared" si="172"/>
        <v>0</v>
      </c>
      <c r="EV85" s="884" t="e">
        <f t="shared" si="173"/>
        <v>#VALUE!</v>
      </c>
      <c r="EW85" s="884" t="e">
        <f t="shared" si="174"/>
        <v>#VALUE!</v>
      </c>
      <c r="EX85" s="943" t="str">
        <f t="shared" si="175"/>
        <v/>
      </c>
      <c r="EY85" s="886" t="e">
        <f t="shared" si="198"/>
        <v>#DIV/0!</v>
      </c>
      <c r="EZ85" s="961" t="e">
        <f t="shared" si="176"/>
        <v>#DIV/0!</v>
      </c>
      <c r="FA85" s="962" t="e">
        <f t="shared" si="177"/>
        <v>#DIV/0!</v>
      </c>
      <c r="FB85" s="887" t="str">
        <f t="shared" si="178"/>
        <v/>
      </c>
      <c r="FC85" s="888" t="str">
        <f t="shared" si="179"/>
        <v/>
      </c>
      <c r="FD85" s="514">
        <f t="shared" si="180"/>
        <v>0</v>
      </c>
      <c r="FE85" s="515">
        <f t="shared" si="181"/>
        <v>0</v>
      </c>
      <c r="FF85" s="754" t="b">
        <f t="shared" si="106"/>
        <v>0</v>
      </c>
      <c r="FG85" s="754" t="b">
        <f t="shared" si="107"/>
        <v>0</v>
      </c>
      <c r="FH85" s="754" t="b">
        <f t="shared" si="108"/>
        <v>0</v>
      </c>
      <c r="FI85" s="917" t="b">
        <f t="shared" si="109"/>
        <v>0</v>
      </c>
      <c r="FJ85" s="920" t="str">
        <f t="shared" si="119"/>
        <v/>
      </c>
      <c r="FK85" s="919" t="str">
        <f t="shared" si="120"/>
        <v/>
      </c>
      <c r="FL85" s="327" t="e">
        <f t="shared" si="121"/>
        <v>#N/A</v>
      </c>
      <c r="FM85" s="328" t="str">
        <f t="shared" si="110"/>
        <v/>
      </c>
      <c r="FN85" s="281" t="str">
        <f t="shared" ca="1" si="122"/>
        <v/>
      </c>
      <c r="FO85" s="282" t="str">
        <f t="shared" ca="1" si="123"/>
        <v/>
      </c>
      <c r="FP85" s="283" t="str">
        <f t="shared" ca="1" si="124"/>
        <v/>
      </c>
      <c r="FQ85" s="283" t="str">
        <f t="shared" ca="1" si="125"/>
        <v/>
      </c>
      <c r="FR85" s="329">
        <f t="shared" ca="1" si="126"/>
        <v>0</v>
      </c>
      <c r="FS85" s="330">
        <f t="shared" ca="1" si="127"/>
        <v>0</v>
      </c>
      <c r="FT85" s="281" t="str">
        <f t="shared" ca="1" si="132"/>
        <v/>
      </c>
      <c r="FU85" s="284" t="str">
        <f t="shared" ca="1" si="133"/>
        <v/>
      </c>
      <c r="FV85" s="331" t="str">
        <f t="shared" ca="1" si="134"/>
        <v/>
      </c>
      <c r="FW85" s="285" t="str">
        <f t="shared" ca="1" si="128"/>
        <v/>
      </c>
      <c r="FX85" s="285" t="str">
        <f t="shared" ca="1" si="129"/>
        <v/>
      </c>
      <c r="FY85" s="285" t="str">
        <f t="shared" ca="1" si="135"/>
        <v/>
      </c>
      <c r="FZ85" s="285" t="str">
        <f t="shared" ca="1" si="130"/>
        <v/>
      </c>
      <c r="GA85" s="285" t="str">
        <f t="shared" ca="1" si="136"/>
        <v/>
      </c>
      <c r="GB85" s="286" t="str">
        <f ca="1">IF(FY85="","",2+SUM(FO85:OFFSET(FO85,(FU85-1)*-1,0)))</f>
        <v/>
      </c>
      <c r="GC85" s="332" t="e">
        <f t="shared" si="131"/>
        <v>#N/A</v>
      </c>
      <c r="GD85" s="333" t="str">
        <f t="shared" si="111"/>
        <v/>
      </c>
      <c r="GE85" s="334" t="str">
        <f t="shared" si="112"/>
        <v/>
      </c>
      <c r="GF85" s="287" t="str">
        <f t="shared" si="113"/>
        <v/>
      </c>
      <c r="GG85" s="288" t="str">
        <f t="shared" si="114"/>
        <v/>
      </c>
      <c r="GH85" s="288" t="str">
        <f t="shared" si="115"/>
        <v/>
      </c>
      <c r="GI85" s="289" t="str">
        <f t="shared" si="116"/>
        <v/>
      </c>
      <c r="GJ85" s="335">
        <f ca="1">IF(FY85="",FM46,(FY85-(FQ85+VLOOKUP(FK85,$CB$54:$EU$85,12,FALSE)-VLOOKUP(FK85,$CB$54:$EU$85,34,FALSE))/COS(VLOOKUP(FK85,$CB$54:$EU$85,72,FALSE)))/2)</f>
        <v>0</v>
      </c>
      <c r="GK85" s="914" t="str">
        <f t="shared" ca="1" si="118"/>
        <v/>
      </c>
    </row>
    <row r="86" spans="1:238" ht="12.6" hidden="1" customHeight="1" x14ac:dyDescent="0.2">
      <c r="Z86" s="1140"/>
      <c r="AA86" s="1140"/>
      <c r="AB86" s="1140"/>
    </row>
    <row r="87" spans="1:238" ht="12.6" hidden="1" customHeight="1" x14ac:dyDescent="0.25">
      <c r="A87" s="1214" t="str">
        <f>IF(ISBLANK(CB87),"",CB87)</f>
        <v/>
      </c>
      <c r="B87" s="1678" t="str">
        <f t="shared" ref="B87" si="201">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algorithmName="SHA-512" hashValue="d1bZmE4qQcNmW8DcN+45B/4Wg0dIVFTA/q52maD86Mf0rpZaOHJsg28nL3Cw0GW94o7k7YwDHw4QXlVluou0HA==" saltValue="3vlWBobkUglI0ub0OagL5A==" spinCount="100000" sheet="1" objects="1" scenarios="1" selectLockedCells="1"/>
  <mergeCells count="392">
    <mergeCell ref="GA52:GA53"/>
    <mergeCell ref="GB52:GB53"/>
    <mergeCell ref="GC52:GC53"/>
    <mergeCell ref="GJ52:GJ53"/>
    <mergeCell ref="FU52:FU53"/>
    <mergeCell ref="FV52:FV53"/>
    <mergeCell ref="FW52:FW53"/>
    <mergeCell ref="FX52:FX53"/>
    <mergeCell ref="FY52:FY53"/>
    <mergeCell ref="FZ52:FZ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IN12:IN13"/>
    <mergeCell ref="IO12:IO13"/>
    <mergeCell ref="IP12:IP13"/>
    <mergeCell ref="IQ12:IQ13"/>
    <mergeCell ref="IR12:IR13"/>
    <mergeCell ref="IS12:IS13"/>
    <mergeCell ref="IH12:IH13"/>
    <mergeCell ref="II12:II13"/>
    <mergeCell ref="IJ12:IJ13"/>
    <mergeCell ref="IK12:IK13"/>
    <mergeCell ref="IL12:IL13"/>
    <mergeCell ref="IM12:IM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725" priority="38">
      <formula>AND(NOT($BK28),NOT($BR28))</formula>
    </cfRule>
  </conditionalFormatting>
  <conditionalFormatting sqref="DM54:DM85 DT54:DT85">
    <cfRule type="cellIs" dxfId="724" priority="39" stopIfTrue="1" operator="notEqual">
      <formula>DN54</formula>
    </cfRule>
  </conditionalFormatting>
  <conditionalFormatting sqref="DD28:DD45">
    <cfRule type="cellIs" dxfId="723" priority="40" operator="greaterThan">
      <formula>EY68</formula>
    </cfRule>
    <cfRule type="expression" dxfId="722" priority="41">
      <formula>AND(ISBLANK(DD28),EY68&gt;0)</formula>
    </cfRule>
  </conditionalFormatting>
  <conditionalFormatting sqref="DE28:DE45">
    <cfRule type="cellIs" dxfId="721" priority="42" operator="lessThan">
      <formula>EX68</formula>
    </cfRule>
    <cfRule type="expression" dxfId="720" priority="43">
      <formula>AND(ISBLANK(DE28),EX68&lt;&gt;"")</formula>
    </cfRule>
  </conditionalFormatting>
  <conditionalFormatting sqref="A28:B45">
    <cfRule type="expression" dxfId="719" priority="44">
      <formula>AND(NOT($BK$1),$B28=0,OR($BJ$1="",$BJ$1="M"))</formula>
    </cfRule>
  </conditionalFormatting>
  <conditionalFormatting sqref="FQ54:FR85">
    <cfRule type="cellIs" dxfId="718" priority="49" stopIfTrue="1" operator="lessThan">
      <formula>0</formula>
    </cfRule>
  </conditionalFormatting>
  <conditionalFormatting sqref="DI14">
    <cfRule type="expression" dxfId="717" priority="45">
      <formula>UPPER(#REF!)="X"</formula>
    </cfRule>
  </conditionalFormatting>
  <conditionalFormatting sqref="DJ14">
    <cfRule type="expression" dxfId="716" priority="46">
      <formula>OR(UPPER(#REF!)="X",UPPER(#REF!="X"))</formula>
    </cfRule>
  </conditionalFormatting>
  <conditionalFormatting sqref="DK14">
    <cfRule type="expression" dxfId="715" priority="47">
      <formula>OR(UPPER(#REF!)="X",UPPER(#REF!="X"))</formula>
    </cfRule>
  </conditionalFormatting>
  <conditionalFormatting sqref="Q2:T4 AU2:AX4">
    <cfRule type="cellIs" dxfId="714" priority="53" stopIfTrue="1" operator="equal">
      <formula>""</formula>
    </cfRule>
  </conditionalFormatting>
  <conditionalFormatting sqref="M7">
    <cfRule type="expression" dxfId="713" priority="54" stopIfTrue="1">
      <formula>OR(ISBLANK($M$7),$M$7="")</formula>
    </cfRule>
    <cfRule type="expression" dxfId="712" priority="55" stopIfTrue="1">
      <formula>NOT(OR(COUNTIF(masterFinishList, $M$7) &gt; 0, COUNTIF($M$7, "Other:*") &gt; 0))</formula>
    </cfRule>
  </conditionalFormatting>
  <conditionalFormatting sqref="DA20">
    <cfRule type="expression" dxfId="711" priority="56" stopIfTrue="1">
      <formula>NOT(ISBLANK($DA$20))</formula>
    </cfRule>
  </conditionalFormatting>
  <conditionalFormatting sqref="C28:C45">
    <cfRule type="expression" dxfId="710" priority="35">
      <formula>AND(NOT($BK28),NOT(BR28))</formula>
    </cfRule>
  </conditionalFormatting>
  <conditionalFormatting sqref="U28:U45">
    <cfRule type="expression" dxfId="709" priority="36">
      <formula>AND(NOT($BK28),BV28="No")</formula>
    </cfRule>
  </conditionalFormatting>
  <conditionalFormatting sqref="V28:V45">
    <cfRule type="expression" dxfId="708" priority="37">
      <formula>AND(NOT($BK28),BV28="No")</formula>
    </cfRule>
  </conditionalFormatting>
  <conditionalFormatting sqref="S28:S45">
    <cfRule type="expression" dxfId="707" priority="33">
      <formula>AND(NOT($BK28),BT28="No")</formula>
    </cfRule>
  </conditionalFormatting>
  <conditionalFormatting sqref="T28:T45">
    <cfRule type="expression" dxfId="706" priority="34">
      <formula>AND(NOT($BK28),BT28="No")</formula>
    </cfRule>
  </conditionalFormatting>
  <conditionalFormatting sqref="W28:W45">
    <cfRule type="expression" dxfId="705" priority="26">
      <formula>$W28=0</formula>
    </cfRule>
  </conditionalFormatting>
  <conditionalFormatting sqref="DI15:DI45">
    <cfRule type="expression" dxfId="704" priority="48">
      <formula>FM54="X"</formula>
    </cfRule>
  </conditionalFormatting>
  <conditionalFormatting sqref="DJ15:DJ45">
    <cfRule type="expression" dxfId="703" priority="50">
      <formula>FM54="X"</formula>
    </cfRule>
  </conditionalFormatting>
  <conditionalFormatting sqref="DK15:DK45">
    <cfRule type="expression" dxfId="702" priority="51">
      <formula>FM54="X"</formula>
    </cfRule>
  </conditionalFormatting>
  <conditionalFormatting sqref="DH14:DH45">
    <cfRule type="expression" dxfId="701" priority="12">
      <formula>NOT($FQ14)</formula>
    </cfRule>
    <cfRule type="expression" dxfId="700" priority="52">
      <formula>FJ54="G"</formula>
    </cfRule>
  </conditionalFormatting>
  <conditionalFormatting sqref="DT14:DU45">
    <cfRule type="expression" dxfId="699" priority="57">
      <formula>GD54=0</formula>
    </cfRule>
  </conditionalFormatting>
  <conditionalFormatting sqref="AR87:AS87 AR14:AS45">
    <cfRule type="expression" dxfId="698" priority="58">
      <formula>AND(NOT($BZ14),$FF54)</formula>
    </cfRule>
  </conditionalFormatting>
  <conditionalFormatting sqref="AV87:AW87 AV14:AW45">
    <cfRule type="expression" dxfId="697" priority="59">
      <formula>AND(NOT($BZ14),$FG54)</formula>
    </cfRule>
  </conditionalFormatting>
  <conditionalFormatting sqref="AZ87:BA87 AZ14:BA45">
    <cfRule type="expression" dxfId="696" priority="60">
      <formula>AND(NOT($BZ14),$FH54)</formula>
    </cfRule>
  </conditionalFormatting>
  <conditionalFormatting sqref="BD87:BE87 BD14:BE45">
    <cfRule type="expression" dxfId="695" priority="61">
      <formula>AND(NOT($BZ14),$FI54)</formula>
    </cfRule>
  </conditionalFormatting>
  <conditionalFormatting sqref="DW14:DW45">
    <cfRule type="expression" dxfId="694" priority="62">
      <formula>FF54</formula>
    </cfRule>
  </conditionalFormatting>
  <conditionalFormatting sqref="EA14:EA45">
    <cfRule type="expression" dxfId="693" priority="63">
      <formula>FG54</formula>
    </cfRule>
  </conditionalFormatting>
  <conditionalFormatting sqref="EE14:EE45">
    <cfRule type="expression" dxfId="692" priority="64">
      <formula>FH54</formula>
    </cfRule>
  </conditionalFormatting>
  <conditionalFormatting sqref="EI14:EI45">
    <cfRule type="expression" dxfId="691" priority="65">
      <formula>FI54</formula>
    </cfRule>
  </conditionalFormatting>
  <conditionalFormatting sqref="AD87:AE87 DJ14:DK45 AD14:AE45">
    <cfRule type="expression" dxfId="690" priority="66">
      <formula>AND(NOT($BZ14),FIND("A",$GK54))</formula>
    </cfRule>
  </conditionalFormatting>
  <conditionalFormatting sqref="AI87:AJ87 DM14:DN45 AI14:AJ45">
    <cfRule type="expression" dxfId="689" priority="67">
      <formula>AND(NOT($BZ14),FIND("B",$GK54))</formula>
    </cfRule>
  </conditionalFormatting>
  <conditionalFormatting sqref="DL14:DL45">
    <cfRule type="expression" dxfId="688" priority="4">
      <formula>AND(NOT(ISBLANK($DH14)),ISBLANK($DL14))</formula>
    </cfRule>
    <cfRule type="expression" dxfId="687" priority="31">
      <formula>FIND("B",$GK54)</formula>
    </cfRule>
  </conditionalFormatting>
  <conditionalFormatting sqref="DI14:DI45">
    <cfRule type="expression" dxfId="686" priority="68">
      <formula>NOT($EY14)</formula>
    </cfRule>
  </conditionalFormatting>
  <conditionalFormatting sqref="AC14:AC45">
    <cfRule type="expression" dxfId="685" priority="69">
      <formula>AND(NOT($BZ14),NOT($EY14))</formula>
    </cfRule>
  </conditionalFormatting>
  <conditionalFormatting sqref="AM14:AM45">
    <cfRule type="expression" dxfId="684" priority="30">
      <formula>AND(NOT($BZ14),AM14&lt;&gt;EZ14)</formula>
    </cfRule>
  </conditionalFormatting>
  <conditionalFormatting sqref="DQ14:DQ45">
    <cfRule type="expression" dxfId="683" priority="29">
      <formula>DQ14&lt;&gt;EZ14</formula>
    </cfRule>
  </conditionalFormatting>
  <conditionalFormatting sqref="DB28:DC45">
    <cfRule type="expression" dxfId="682" priority="28">
      <formula>AND(NOT($BK28),LEN($Z28)&gt;27)</formula>
    </cfRule>
  </conditionalFormatting>
  <conditionalFormatting sqref="FF14:FF45">
    <cfRule type="expression" dxfId="681" priority="32">
      <formula>$FC14=0</formula>
    </cfRule>
  </conditionalFormatting>
  <conditionalFormatting sqref="AD14:AJ45">
    <cfRule type="expression" dxfId="680" priority="27">
      <formula>AND(NOT($BZ14),NOT($FA14))</formula>
    </cfRule>
  </conditionalFormatting>
  <conditionalFormatting sqref="A87">
    <cfRule type="expression" dxfId="679" priority="24" stopIfTrue="1">
      <formula>AND(NOT($BK$1),$B87=0,OR($BJ$1="",$BJ$1="M"))</formula>
    </cfRule>
  </conditionalFormatting>
  <conditionalFormatting sqref="C87">
    <cfRule type="expression" dxfId="678" priority="21" stopIfTrue="1">
      <formula>AND(NOT($BK87),NOT(BR87))</formula>
    </cfRule>
  </conditionalFormatting>
  <conditionalFormatting sqref="U87">
    <cfRule type="expression" dxfId="677" priority="22" stopIfTrue="1">
      <formula>AND(NOT($BK87),BV87="No")</formula>
    </cfRule>
  </conditionalFormatting>
  <conditionalFormatting sqref="V87">
    <cfRule type="expression" dxfId="676" priority="23" stopIfTrue="1">
      <formula>AND(NOT($BK87),BV87="No")</formula>
    </cfRule>
  </conditionalFormatting>
  <conditionalFormatting sqref="S87">
    <cfRule type="expression" dxfId="675" priority="19" stopIfTrue="1">
      <formula>AND(NOT($BK87),BT87="No")</formula>
    </cfRule>
  </conditionalFormatting>
  <conditionalFormatting sqref="T87">
    <cfRule type="expression" dxfId="674" priority="20" stopIfTrue="1">
      <formula>AND(NOT($BK87),BT87="No")</formula>
    </cfRule>
  </conditionalFormatting>
  <conditionalFormatting sqref="W87">
    <cfRule type="expression" dxfId="673" priority="13">
      <formula>$W87=0</formula>
    </cfRule>
  </conditionalFormatting>
  <conditionalFormatting sqref="AC87">
    <cfRule type="expression" dxfId="672" priority="25">
      <formula>AND(NOT($BZ87),NOT($EY87))</formula>
    </cfRule>
  </conditionalFormatting>
  <conditionalFormatting sqref="AM87">
    <cfRule type="expression" dxfId="671" priority="18">
      <formula>AND(NOT($BZ87),AM87&lt;&gt;EZ87)</formula>
    </cfRule>
  </conditionalFormatting>
  <conditionalFormatting sqref="AD87:AJ87">
    <cfRule type="expression" dxfId="670" priority="17">
      <formula>AND(NOT($BZ87),NOT($FA87))</formula>
    </cfRule>
  </conditionalFormatting>
  <conditionalFormatting sqref="A87 CB28:DA45 C87:AA87">
    <cfRule type="expression" dxfId="669" priority="14">
      <formula>$FN28</formula>
    </cfRule>
  </conditionalFormatting>
  <conditionalFormatting sqref="AB87:BG87">
    <cfRule type="expression" dxfId="668" priority="16">
      <formula>$CA87</formula>
    </cfRule>
  </conditionalFormatting>
  <conditionalFormatting sqref="Z87">
    <cfRule type="expression" dxfId="667" priority="15">
      <formula>AND(NOT($BK87),LEN($Z87)&gt;27)</formula>
    </cfRule>
  </conditionalFormatting>
  <conditionalFormatting sqref="DH14:EK45 AB14:BG45">
    <cfRule type="expression" dxfId="666" priority="70">
      <formula>$FP14</formula>
    </cfRule>
  </conditionalFormatting>
  <conditionalFormatting sqref="A28:Y45 AA28:AA45">
    <cfRule type="expression" dxfId="665" priority="71">
      <formula>$FN28</formula>
    </cfRule>
  </conditionalFormatting>
  <conditionalFormatting sqref="CB28:CB45">
    <cfRule type="expression" dxfId="664" priority="5">
      <formula>NOT($FO28)</formula>
    </cfRule>
  </conditionalFormatting>
  <conditionalFormatting sqref="A28:A45">
    <cfRule type="expression" dxfId="663" priority="10">
      <formula>NOT($FO28)</formula>
    </cfRule>
  </conditionalFormatting>
  <conditionalFormatting sqref="AB14:AB45">
    <cfRule type="expression" dxfId="662" priority="9">
      <formula>NOT($FQ14)</formula>
    </cfRule>
  </conditionalFormatting>
  <conditionalFormatting sqref="Z28:Z45">
    <cfRule type="expression" dxfId="661" priority="7">
      <formula>$FN28</formula>
    </cfRule>
  </conditionalFormatting>
  <conditionalFormatting sqref="Z28:Z45">
    <cfRule type="expression" dxfId="660" priority="8">
      <formula>AND(NOT($BK28),LEN($Z28)&gt;27)</formula>
    </cfRule>
  </conditionalFormatting>
  <conditionalFormatting sqref="GA28:GB45">
    <cfRule type="expression" dxfId="659" priority="6" stopIfTrue="1">
      <formula>$GM28&gt;=0.125</formula>
    </cfRule>
  </conditionalFormatting>
  <conditionalFormatting sqref="CB28:CC45">
    <cfRule type="expression" dxfId="658" priority="11">
      <formula>AND(NOT($BK$1),$B28=0,OR($BJ$1="",$BJ$1="M"))</formula>
    </cfRule>
  </conditionalFormatting>
  <conditionalFormatting sqref="DB28:DE45">
    <cfRule type="expression" dxfId="657" priority="72">
      <formula>$FN28</formula>
    </cfRule>
  </conditionalFormatting>
  <conditionalFormatting sqref="CJ28:CJ45">
    <cfRule type="expression" dxfId="656" priority="73">
      <formula>AND(NOT($BK28),OR($CC68="M",$CC68="C",$CC68="G"))</formula>
    </cfRule>
    <cfRule type="expression" dxfId="655" priority="74">
      <formula>AND(NOT($BK28),AND(OR($CC68="B",$CC68="G"),CJ28="",CK28=""))</formula>
    </cfRule>
    <cfRule type="expression" dxfId="654" priority="75">
      <formula>AND(NOT($BK28),EG68="ERR")</formula>
    </cfRule>
  </conditionalFormatting>
  <conditionalFormatting sqref="CK28:CK45">
    <cfRule type="expression" dxfId="653" priority="76">
      <formula>AND(NOT($BK28),OR($CC68="M",$CC68="C",$CC68="G"))</formula>
    </cfRule>
    <cfRule type="expression" dxfId="652" priority="77">
      <formula>AND(NOT($BK28),AND(OR($CC68="B",$CC68="G"),CJ28="",CK28=""))</formula>
    </cfRule>
    <cfRule type="expression" dxfId="651" priority="78">
      <formula>AND(NOT($BK28),EG68="ERR")</formula>
    </cfRule>
  </conditionalFormatting>
  <conditionalFormatting sqref="CH28:CH45">
    <cfRule type="expression" dxfId="650" priority="79">
      <formula>AND(NOT($BK28),OR($CC68="M",$CC68="C"))</formula>
    </cfRule>
    <cfRule type="expression" dxfId="649" priority="80">
      <formula>AND(NOT($BK28),AND(CH28="",CI28="",OR($CC68="B",$CC68="G")))</formula>
    </cfRule>
    <cfRule type="expression" dxfId="648" priority="81">
      <formula>AND(NOT($BK28),(CH28/2)/COS(RADIANS(CL28))+CD68-DC68&lt;$FB$4)</formula>
    </cfRule>
  </conditionalFormatting>
  <conditionalFormatting sqref="CI28:CI45">
    <cfRule type="expression" dxfId="647" priority="82">
      <formula>AND(NOT($BK28),OR($CC68="M",$CC68="C"))</formula>
    </cfRule>
    <cfRule type="expression" dxfId="646" priority="83">
      <formula>AND(NOT($BK28),AND(CH28="",CI28="",OR($CC68="B",$CC68="G")))</formula>
    </cfRule>
    <cfRule type="expression" dxfId="645" priority="84">
      <formula>AND(NOT($BK28),(CI28/2)/COS(RADIANS(CL28))+CD68-DC68&lt;$FB$4)</formula>
    </cfRule>
  </conditionalFormatting>
  <conditionalFormatting sqref="CT28:CT45">
    <cfRule type="expression" dxfId="644" priority="85">
      <formula>AND(NOT($BK28),OR($CL68="M",$CL68="C",$CL68="G"))</formula>
    </cfRule>
    <cfRule type="expression" dxfId="643" priority="86">
      <formula>AND(NOT($BK28),AND(OR($CL68="B",$CL68="G"),CT28="",CU28=""))</formula>
    </cfRule>
    <cfRule type="expression" dxfId="642" priority="87">
      <formula>AND(NOT($BK28),EJ68="ERR")</formula>
    </cfRule>
  </conditionalFormatting>
  <conditionalFormatting sqref="CU28:CU45">
    <cfRule type="expression" dxfId="641" priority="88">
      <formula>AND(NOT($BK28),OR($CL68="M",$CL68="C",$CL68="G"))</formula>
    </cfRule>
    <cfRule type="expression" dxfId="640" priority="89">
      <formula>AND(NOT($BK28),AND(OR($CL68="B",$CL68="G"),CT28="",CU28=""))</formula>
    </cfRule>
    <cfRule type="expression" dxfId="639" priority="90">
      <formula>AND(NOT($BK28),EJ68="ERR")</formula>
    </cfRule>
  </conditionalFormatting>
  <conditionalFormatting sqref="CR28:CR45">
    <cfRule type="expression" dxfId="638" priority="91">
      <formula>AND(NOT($BK28),OR($CL68="M",$CL68="C"))</formula>
    </cfRule>
    <cfRule type="expression" dxfId="637" priority="92">
      <formula>AND(NOT($BK28),AND(CR28="",CS28="",OR($CL68="B",$CL68="G")))</formula>
    </cfRule>
    <cfRule type="expression" dxfId="636" priority="93">
      <formula>AND(NOT($BK28),(CR28/2)/COS(RADIANS(CV28))+CM68-DI68&lt;$FB$4)</formula>
    </cfRule>
  </conditionalFormatting>
  <conditionalFormatting sqref="CS28:CS45">
    <cfRule type="expression" dxfId="635" priority="94">
      <formula>AND(NOT($BK28),OR($CL68="M",$CL68="C"))</formula>
    </cfRule>
    <cfRule type="expression" dxfId="634" priority="95">
      <formula>AND(NOT($BK28),AND(CR28="",CS28="",OR($CL68="B",$CL68="G")))</formula>
    </cfRule>
    <cfRule type="expression" dxfId="633" priority="96">
      <formula>AND(NOT($BK28),(CS28/2)/COS(RADIANS(CV28))+CM68-DI68&lt;$FB$4)</formula>
    </cfRule>
  </conditionalFormatting>
  <conditionalFormatting sqref="CW28:CW45 CM28:CM45">
    <cfRule type="expression" dxfId="632" priority="97">
      <formula>AND(NOT($BK28),AND(ISBLANK(CM28),AND(NOT(ISBLANK(CL28)),$DA28&lt;&gt;0)))</formula>
    </cfRule>
  </conditionalFormatting>
  <conditionalFormatting sqref="CO28:CO45">
    <cfRule type="expression" dxfId="631" priority="98">
      <formula>ET28&lt;&gt;""</formula>
    </cfRule>
  </conditionalFormatting>
  <conditionalFormatting sqref="CY28:CY45">
    <cfRule type="expression" dxfId="630" priority="99">
      <formula>EU28&lt;&gt;""</formula>
    </cfRule>
  </conditionalFormatting>
  <conditionalFormatting sqref="DC28:DC45">
    <cfRule type="expression" dxfId="629" priority="100">
      <formula>OR(EN28&lt;&gt;"",EO28&lt;&gt;"",EP28&lt;&gt;"",EQ28&lt;&gt;"",ER28&lt;&gt;"",ES28&lt;&gt;"",ET28&lt;&gt;"",EU28&lt;&gt;"")</formula>
    </cfRule>
  </conditionalFormatting>
  <conditionalFormatting sqref="CG28:CG45">
    <cfRule type="expression" dxfId="628" priority="101">
      <formula>AND(NOT($BK28),ISERROR(CC68))</formula>
    </cfRule>
    <cfRule type="expression" dxfId="627" priority="102">
      <formula>AND(NOT($BK28),OR(ISERROR(CC68),CC68="", ET28&lt;&gt;""))</formula>
    </cfRule>
  </conditionalFormatting>
  <conditionalFormatting sqref="CQ28:CQ45">
    <cfRule type="expression" dxfId="626" priority="103">
      <formula>AND(NOT($BK28),ISERROR(CL68))</formula>
    </cfRule>
    <cfRule type="expression" dxfId="625" priority="104">
      <formula>AND(NOT($BK28),OR(CL68="", EU28&lt;&gt;""))</formula>
    </cfRule>
  </conditionalFormatting>
  <conditionalFormatting sqref="GA48:GB48">
    <cfRule type="expression" dxfId="624" priority="3" stopIfTrue="1">
      <formula>$GM48&gt;=0.125</formula>
    </cfRule>
  </conditionalFormatting>
  <conditionalFormatting sqref="B87">
    <cfRule type="expression" dxfId="623" priority="1">
      <formula>AND(NOT($BK$1),$B87=0,OR($BJ$1="",$BJ$1="M"))</formula>
    </cfRule>
  </conditionalFormatting>
  <conditionalFormatting sqref="B87">
    <cfRule type="expression" dxfId="622" priority="2">
      <formula>$FN87</formula>
    </cfRule>
  </conditionalFormatting>
  <conditionalFormatting sqref="D28:E45">
    <cfRule type="expression" dxfId="621" priority="105" stopIfTrue="1">
      <formula xml:space="preserve"> AND($GM28 &gt;= 0.125, $GL28 &gt; 0)</formula>
    </cfRule>
  </conditionalFormatting>
  <dataValidations count="19">
    <dataValidation type="decimal" allowBlank="1" showInputMessage="1" showErrorMessage="1" error="Load must be blank or a number." sqref="DO14:DO45" xr:uid="{4B730E05-AA68-4798-807F-A0E02568FAEA}">
      <formula1>0</formula1>
      <formula2>99</formula2>
    </dataValidation>
    <dataValidation type="whole" operator="greaterThan" allowBlank="1" showInputMessage="1" showErrorMessage="1" errorTitle="Quantity Error" error="Value must be an integer greater than -1000." sqref="B28:B45 CC28:CC45" xr:uid="{732A186C-760E-456A-91E8-755725D1D60F}">
      <formula1>-1001</formula1>
    </dataValidation>
    <dataValidation type="whole" operator="notBetween" allowBlank="1" showInputMessage="1" showErrorMessage="1" sqref="B87" xr:uid="{2C68BE69-C6B2-4BF4-BE02-7EDF9477E2D5}">
      <formula1>-10001</formula1>
      <formula2>-10000</formula2>
    </dataValidation>
    <dataValidation type="decimal" operator="greaterThan" allowBlank="1" showInputMessage="1" showErrorMessage="1" errorTitle="Input Error" error="Positive Numeric Values Only!" sqref="CP28:CP45 CZ28:CZ45" xr:uid="{17C5027B-77C7-49C1-99FF-AA538F8F82D5}">
      <formula1>0</formula1>
    </dataValidation>
    <dataValidation allowBlank="1" showInputMessage="1" showErrorMessage="1" errorTitle="Input Error" error="Numbers from 0&quot; to 11 7/8&quot; only!" sqref="GB28:GB45 GB48" xr:uid="{9653E72A-0162-4732-890B-20C127A838D1}"/>
    <dataValidation type="whole" operator="greaterThanOrEqual" allowBlank="1" showInputMessage="1" showErrorMessage="1" errorTitle="Input Error" error="Positive Integers Only!" sqref="GA28:GA45 GA48" xr:uid="{6F7175EE-45E4-41FC-95D5-A95280D7708A}">
      <formula1>0</formula1>
    </dataValidation>
    <dataValidation type="decimal" allowBlank="1" showInputMessage="1" showErrorMessage="1" errorTitle="Input Error" error="Numeric Values Only!" sqref="GC28:GD45 GC48:GD48 CN28:CN45 CX28:CX45" xr:uid="{F61D843E-F842-468B-8761-7F2A6C928A8A}">
      <formula1>-1200</formula1>
      <formula2>1200</formula2>
    </dataValidation>
    <dataValidation type="decimal" operator="greaterThanOrEqual" allowBlank="1" showInputMessage="1" showErrorMessage="1" errorTitle="Input Error" error="Enter a numeric value greater than 1/2&quot;." sqref="AP14:AQ45" xr:uid="{1267D291-60CF-4FC1-83F3-5E595126AF5C}">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8C27F5A-44B9-47BE-BC92-6257712C214B}">
      <formula1>"N,F,B"</formula1>
    </dataValidation>
    <dataValidation type="decimal" operator="lessThanOrEqual" allowBlank="1" showInputMessage="1" showErrorMessage="1" errorTitle="BL Over-Ride Error!" error="Base Length can't be past Girder Overall Length!  See section for Maximum Over-Ride Dimension." sqref="CY28:CY45" xr:uid="{36C317E0-352A-49EC-9355-E86578B22D77}">
      <formula1>$CM68</formula1>
    </dataValidation>
    <dataValidation type="decimal" operator="lessThanOrEqual" allowBlank="1" showInputMessage="1" showErrorMessage="1" errorTitle="BL Over-Ride Error!" error="Base Length can't be past Girder Overall Length!  See section for Maximum Over-Ride Dimension." sqref="CO28:CO45" xr:uid="{872D6944-3C82-4685-BC61-65F82EB534F4}">
      <formula1>$CD68</formula1>
    </dataValidation>
    <dataValidation type="decimal" operator="notEqual" allowBlank="1" showInputMessage="1" showErrorMessage="1" errorTitle="Input Error" error="Enter + or - Numbers Only._x000a_Do NOT use &quot;&lt;&quot; or &quot;&gt;&quot;." sqref="X28:Y45 X87:Y87" xr:uid="{9E539AF5-737C-486F-B20F-AA94DBA9378E}">
      <formula1>0</formula1>
    </dataValidation>
    <dataValidation type="decimal" operator="greaterThanOrEqual" allowBlank="1" showInputMessage="1" showErrorMessage="1" errorTitle="Dimensional Error" error="&quot;Inches&quot; must be a number." sqref="CH28:CK45 CR28:CU45" xr:uid="{22D51582-EE99-4FE4-A14B-9CE2E715D6C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64F53446-9142-4586-9F6B-71DBA34EF85D}">
      <formula1>IF(ISERROR(INT(AR14)),AR14="P",INT(AR14)=AR14)</formula1>
    </dataValidation>
    <dataValidation type="whole" operator="greaterThanOrEqual" allowBlank="1" showErrorMessage="1" errorTitle="Error" error="&quot;Number of Panels&quot; can only be whole numbers." sqref="DL14:DL45 AF87 AF14:AF45" xr:uid="{A2C61D80-BC24-4F6B-82DD-87D37CF85C5A}">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formula1>0</formula1>
    </dataValidation>
    <dataValidation type="list" allowBlank="1" showInputMessage="1" sqref="M7:S7 DA20:DB20" xr:uid="{24A0E2C5-88E5-417A-A948-1918267F193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4AED3-4890-4182-A21F-2D04A70F7720}">
  <sheetPr codeName="Sheet30">
    <tabColor indexed="42"/>
  </sheetPr>
  <dimension ref="A1:AAD111"/>
  <sheetViews>
    <sheetView showGridLines="0" topLeftCell="F2" zoomScaleNormal="100" zoomScaleSheetLayoutView="75" workbookViewId="0">
      <selection activeCell="GA27" sqref="GA27"/>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132" t="s">
        <v>95</v>
      </c>
      <c r="BB1" s="2132"/>
      <c r="BC1" s="213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82" t="s">
        <v>1107</v>
      </c>
      <c r="FH3" s="2183"/>
      <c r="FI3" s="2184"/>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76"/>
      <c r="AW4" s="2276"/>
      <c r="AX4" s="2277"/>
      <c r="AY4" s="382"/>
      <c r="AZ4" s="382"/>
      <c r="BA4" s="2132" t="s">
        <v>97</v>
      </c>
      <c r="BB4" s="2132"/>
      <c r="BC4" s="213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29"/>
      <c r="DB4" s="21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275"/>
      <c r="AD5" s="2275"/>
      <c r="AE5" s="2275"/>
      <c r="AF5" s="2275"/>
      <c r="AG5" s="2275"/>
      <c r="AH5" s="2275"/>
      <c r="AI5" s="2275"/>
      <c r="AJ5" s="2275"/>
      <c r="AK5" s="2275"/>
      <c r="AL5" s="2275"/>
      <c r="AM5" s="2275"/>
      <c r="AN5" s="2275"/>
      <c r="AO5" s="2275"/>
      <c r="AP5" s="2275"/>
      <c r="AQ5" s="2275"/>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78" t="s">
        <v>639</v>
      </c>
      <c r="DI6" s="2173"/>
      <c r="DJ6" s="2173"/>
      <c r="DK6" s="2173"/>
      <c r="DL6" s="2173"/>
      <c r="DM6" s="2173"/>
      <c r="DN6" s="2173"/>
      <c r="DO6" s="2173"/>
      <c r="DP6" s="2173"/>
      <c r="DQ6" s="2173"/>
      <c r="DR6" s="2173"/>
      <c r="DS6" s="2173"/>
      <c r="DT6" s="2173"/>
      <c r="DU6" s="2173"/>
      <c r="DV6" s="2173"/>
      <c r="DW6" s="2173"/>
      <c r="DX6" s="2173"/>
      <c r="DY6" s="2173"/>
      <c r="DZ6" s="2173"/>
      <c r="EA6" s="2173"/>
      <c r="EB6" s="2173"/>
      <c r="EC6" s="2173"/>
      <c r="ED6" s="2173"/>
      <c r="EE6" s="2173"/>
      <c r="EF6" s="2173"/>
      <c r="EG6" s="2173"/>
      <c r="EH6" s="2173"/>
      <c r="EI6" s="2173"/>
      <c r="EJ6" s="2173"/>
      <c r="EK6" s="217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140" t="s">
        <v>26</v>
      </c>
      <c r="L7" s="2150"/>
      <c r="M7" s="2143" t="s">
        <v>1389</v>
      </c>
      <c r="N7" s="2144"/>
      <c r="O7" s="2144"/>
      <c r="P7" s="2144"/>
      <c r="Q7" s="2144"/>
      <c r="R7" s="2144"/>
      <c r="S7" s="2144"/>
      <c r="T7"/>
      <c r="U7" s="1092"/>
      <c r="V7" s="2140" t="s">
        <v>21</v>
      </c>
      <c r="W7" s="2140"/>
      <c r="X7" s="1175" t="str">
        <f>CONCATENATE(BI7, " of ",IF(ISBLANK('Job Info.'!D9),"",'Job Info.'!D9))</f>
        <v>13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14 of 19</v>
      </c>
      <c r="BC7" s="658"/>
      <c r="BD7" s="658"/>
      <c r="BE7" s="374"/>
      <c r="BF7" s="374"/>
      <c r="BG7" s="374"/>
      <c r="BH7" s="261"/>
      <c r="BI7" s="1083">
        <v>13</v>
      </c>
      <c r="CA7" s="246"/>
      <c r="CB7" s="2171" t="s">
        <v>638</v>
      </c>
      <c r="CC7" s="2207"/>
      <c r="CD7" s="2207"/>
      <c r="CE7" s="2207"/>
      <c r="CF7" s="2207"/>
      <c r="CG7" s="2207"/>
      <c r="CH7" s="2207"/>
      <c r="CI7" s="2207"/>
      <c r="CJ7" s="2207"/>
      <c r="CK7" s="2207"/>
      <c r="CL7" s="2207"/>
      <c r="CM7" s="2207"/>
      <c r="CN7" s="2207"/>
      <c r="CO7" s="2207"/>
      <c r="CP7" s="2207"/>
      <c r="CQ7" s="2207"/>
      <c r="CR7" s="2207"/>
      <c r="CS7" s="2207"/>
      <c r="CT7" s="2207"/>
      <c r="CU7" s="2207"/>
      <c r="CV7" s="2207"/>
      <c r="CW7" s="2207"/>
      <c r="CX7" s="2207"/>
      <c r="CY7" s="2207"/>
      <c r="CZ7" s="2173"/>
      <c r="DA7" s="2173"/>
      <c r="DB7" s="2173"/>
      <c r="DC7" s="2173"/>
      <c r="DD7" s="2173"/>
      <c r="DE7" s="2174"/>
      <c r="DF7" s="244"/>
      <c r="DG7" s="244"/>
      <c r="DH7" s="2249"/>
      <c r="DI7" s="1986"/>
      <c r="DJ7" s="1986"/>
      <c r="DK7" s="1986"/>
      <c r="DL7" s="1986"/>
      <c r="DM7" s="1986"/>
      <c r="DN7" s="1986"/>
      <c r="DO7" s="1986"/>
      <c r="DP7" s="1986"/>
      <c r="DQ7" s="1986"/>
      <c r="DR7" s="1986"/>
      <c r="DS7" s="1986"/>
      <c r="DT7" s="1986"/>
      <c r="DU7" s="1986"/>
      <c r="DV7" s="1986"/>
      <c r="DW7" s="1986"/>
      <c r="DX7" s="1986"/>
      <c r="DY7" s="1986"/>
      <c r="DZ7" s="1986"/>
      <c r="EA7" s="1986"/>
      <c r="EB7" s="1986"/>
      <c r="EC7" s="1986"/>
      <c r="ED7" s="1986"/>
      <c r="EE7" s="1986"/>
      <c r="EF7" s="1986"/>
      <c r="EG7" s="1986"/>
      <c r="EH7" s="1986"/>
      <c r="EI7" s="1986"/>
      <c r="EJ7" s="1986"/>
      <c r="EK7" s="2177"/>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72"/>
      <c r="B8" s="2272"/>
      <c r="C8" s="2272"/>
      <c r="D8" s="2272"/>
      <c r="E8" s="2272"/>
      <c r="F8" s="2272"/>
      <c r="G8" s="2272"/>
      <c r="H8" s="2272"/>
      <c r="I8" s="2272"/>
      <c r="J8" s="2272"/>
      <c r="K8" s="2272"/>
      <c r="L8" s="2272"/>
      <c r="M8" s="2272"/>
      <c r="N8" s="2272"/>
      <c r="O8" s="2272"/>
      <c r="P8" s="2272"/>
      <c r="Q8" s="2272"/>
      <c r="R8" s="2272"/>
      <c r="S8" s="2272"/>
      <c r="T8" s="2272"/>
      <c r="U8" s="2272"/>
      <c r="V8" s="2272"/>
      <c r="W8" s="2272"/>
      <c r="X8" s="2272"/>
      <c r="Y8" s="2272"/>
      <c r="Z8" s="2272"/>
      <c r="AA8" s="2272"/>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BI8" s="245"/>
      <c r="CA8" s="246"/>
      <c r="CB8" s="2209"/>
      <c r="CC8" s="2210"/>
      <c r="CD8" s="2210"/>
      <c r="CE8" s="2210"/>
      <c r="CF8" s="2210"/>
      <c r="CG8" s="2210"/>
      <c r="CH8" s="2210"/>
      <c r="CI8" s="2210"/>
      <c r="CJ8" s="2210"/>
      <c r="CK8" s="2210"/>
      <c r="CL8" s="2210"/>
      <c r="CM8" s="2210"/>
      <c r="CN8" s="2210"/>
      <c r="CO8" s="2210"/>
      <c r="CP8" s="2210"/>
      <c r="CQ8" s="2210"/>
      <c r="CR8" s="2210"/>
      <c r="CS8" s="2210"/>
      <c r="CT8" s="2210"/>
      <c r="CU8" s="2210"/>
      <c r="CV8" s="2210"/>
      <c r="CW8" s="2210"/>
      <c r="CX8" s="2210"/>
      <c r="CY8" s="2210"/>
      <c r="CZ8" s="1986"/>
      <c r="DA8" s="1986"/>
      <c r="DB8" s="1986"/>
      <c r="DC8" s="1986"/>
      <c r="DD8" s="1986"/>
      <c r="DE8" s="2177"/>
      <c r="DF8" s="141"/>
      <c r="DG8" s="141"/>
      <c r="DH8" s="2279"/>
      <c r="DI8" s="2246"/>
      <c r="DJ8" s="2246"/>
      <c r="DK8" s="2246"/>
      <c r="DL8" s="2246"/>
      <c r="DM8" s="2246"/>
      <c r="DN8" s="2246"/>
      <c r="DO8" s="2246"/>
      <c r="DP8" s="2246"/>
      <c r="DQ8" s="2246"/>
      <c r="DR8" s="2246"/>
      <c r="DS8" s="2246"/>
      <c r="DT8" s="2246"/>
      <c r="DU8" s="2246"/>
      <c r="DV8" s="2246"/>
      <c r="DW8" s="2246"/>
      <c r="DX8" s="2246"/>
      <c r="DY8" s="2246"/>
      <c r="DZ8" s="2246"/>
      <c r="EA8" s="2246"/>
      <c r="EB8" s="2246"/>
      <c r="EC8" s="2246"/>
      <c r="ED8" s="2246"/>
      <c r="EE8" s="2246"/>
      <c r="EF8" s="2246"/>
      <c r="EG8" s="2246"/>
      <c r="EH8" s="2246"/>
      <c r="EI8" s="2246"/>
      <c r="EJ8" s="2246"/>
      <c r="EK8" s="2247"/>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273"/>
      <c r="AD9" s="2274"/>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2" t="str">
        <f>T9</f>
        <v>NN22-0071</v>
      </c>
      <c r="AY9" s="2134"/>
      <c r="AZ9" s="2134"/>
      <c r="BA9" s="2134"/>
      <c r="BB9" s="2134"/>
      <c r="BC9" s="2134"/>
      <c r="BD9" s="2134"/>
      <c r="BE9" s="2134"/>
      <c r="BF9" s="2134"/>
      <c r="BG9" s="2134"/>
      <c r="BH9" s="1416"/>
      <c r="BI9" s="245"/>
      <c r="CA9" s="246"/>
      <c r="CB9" s="2209"/>
      <c r="CC9" s="2210"/>
      <c r="CD9" s="2210"/>
      <c r="CE9" s="2210"/>
      <c r="CF9" s="2210"/>
      <c r="CG9" s="2210"/>
      <c r="CH9" s="2210"/>
      <c r="CI9" s="2210"/>
      <c r="CJ9" s="2210"/>
      <c r="CK9" s="2210"/>
      <c r="CL9" s="2210"/>
      <c r="CM9" s="2210"/>
      <c r="CN9" s="2210"/>
      <c r="CO9" s="2210"/>
      <c r="CP9" s="2210"/>
      <c r="CQ9" s="2210"/>
      <c r="CR9" s="2210"/>
      <c r="CS9" s="2210"/>
      <c r="CT9" s="2210"/>
      <c r="CU9" s="2210"/>
      <c r="CV9" s="2210"/>
      <c r="CW9" s="2210"/>
      <c r="CX9" s="2210"/>
      <c r="CY9" s="2210"/>
      <c r="CZ9" s="1986"/>
      <c r="DA9" s="1986"/>
      <c r="DB9" s="1986"/>
      <c r="DC9" s="1986"/>
      <c r="DD9" s="1986"/>
      <c r="DE9" s="2177"/>
      <c r="DF9" s="141"/>
      <c r="DG9" s="141"/>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924"/>
      <c r="EP9" s="927"/>
      <c r="EQ9" s="241"/>
      <c r="ER9" s="241"/>
      <c r="ES9" s="241"/>
      <c r="ET9" s="2113" t="s">
        <v>615</v>
      </c>
      <c r="EU9" s="2258"/>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273"/>
      <c r="AD10" s="2274"/>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2" t="str">
        <f>Z10</f>
        <v>NR</v>
      </c>
      <c r="BF10" s="2134"/>
      <c r="BG10" s="2134"/>
      <c r="BH10" s="1416"/>
      <c r="BI10" s="245"/>
      <c r="CA10" s="246"/>
      <c r="CB10" s="2234"/>
      <c r="CC10" s="1986"/>
      <c r="CD10" s="1986"/>
      <c r="CE10" s="1986"/>
      <c r="CF10" s="2177"/>
      <c r="CG10" s="2230" t="s">
        <v>469</v>
      </c>
      <c r="CH10" s="2231"/>
      <c r="CI10" s="2231"/>
      <c r="CJ10" s="2231"/>
      <c r="CK10" s="2231"/>
      <c r="CL10" s="2231"/>
      <c r="CM10" s="2231"/>
      <c r="CN10" s="2173"/>
      <c r="CO10" s="2173"/>
      <c r="CP10" s="2174"/>
      <c r="CQ10" s="2230" t="s">
        <v>470</v>
      </c>
      <c r="CR10" s="2231"/>
      <c r="CS10" s="2231"/>
      <c r="CT10" s="2231"/>
      <c r="CU10" s="2231"/>
      <c r="CV10" s="2231"/>
      <c r="CW10" s="2231"/>
      <c r="CX10" s="2173"/>
      <c r="CY10" s="2173"/>
      <c r="CZ10" s="2174"/>
      <c r="DA10" s="2298"/>
      <c r="DB10" s="2253"/>
      <c r="DC10" s="2253"/>
      <c r="DD10" s="2253"/>
      <c r="DE10" s="2254"/>
      <c r="DF10" s="141"/>
      <c r="DG10" s="1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241"/>
      <c r="EO10" s="241"/>
      <c r="EP10" s="241"/>
      <c r="EQ10" s="241"/>
      <c r="ER10" s="241"/>
      <c r="ES10" s="241"/>
      <c r="ET10" s="2259"/>
      <c r="EU10" s="2260"/>
      <c r="FW10" s="245"/>
      <c r="FX10" s="245"/>
      <c r="FY10" s="245"/>
      <c r="FZ10" s="245"/>
      <c r="GA10" s="1985" t="s">
        <v>1140</v>
      </c>
      <c r="GB10" s="2295"/>
      <c r="GC10" s="2295"/>
      <c r="GD10" s="2295"/>
      <c r="GE10" s="2295"/>
      <c r="GF10" s="2295"/>
      <c r="GG10" s="1986"/>
      <c r="GH10" s="1986"/>
      <c r="GI10" s="1986"/>
      <c r="GJ10" s="1986"/>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2235"/>
      <c r="CC11" s="2236"/>
      <c r="CD11" s="2236"/>
      <c r="CE11" s="2236"/>
      <c r="CF11" s="2237"/>
      <c r="CG11" s="2232"/>
      <c r="CH11" s="2233"/>
      <c r="CI11" s="2233"/>
      <c r="CJ11" s="2233"/>
      <c r="CK11" s="2233"/>
      <c r="CL11" s="2233"/>
      <c r="CM11" s="2233"/>
      <c r="CN11" s="1986"/>
      <c r="CO11" s="1986"/>
      <c r="CP11" s="2177"/>
      <c r="CQ11" s="2244"/>
      <c r="CR11" s="2245"/>
      <c r="CS11" s="2245"/>
      <c r="CT11" s="2245"/>
      <c r="CU11" s="2245"/>
      <c r="CV11" s="2245"/>
      <c r="CW11" s="2245"/>
      <c r="CX11" s="2246"/>
      <c r="CY11" s="2246"/>
      <c r="CZ11" s="2247"/>
      <c r="DA11" s="1576"/>
      <c r="DB11" s="2248"/>
      <c r="DC11" s="2174"/>
      <c r="DD11" s="2250"/>
      <c r="DE11" s="2251"/>
      <c r="DF11" s="141"/>
      <c r="DG11" s="141"/>
      <c r="DH11" s="2189"/>
      <c r="DI11" s="2256"/>
      <c r="DJ11" s="1986"/>
      <c r="DK11" s="1986"/>
      <c r="DL11" s="1986"/>
      <c r="DM11" s="1986"/>
      <c r="DN11" s="2257"/>
      <c r="DO11" s="2186"/>
      <c r="DP11" s="2299"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241"/>
      <c r="ES11" s="241"/>
      <c r="ET11" s="2259"/>
      <c r="EU11" s="2260"/>
      <c r="FW11" s="2"/>
      <c r="FX11" s="2"/>
      <c r="FY11" s="2"/>
      <c r="FZ11" s="2"/>
      <c r="GA11" s="2296"/>
      <c r="GB11" s="2296"/>
      <c r="GC11" s="2296"/>
      <c r="GD11" s="2296"/>
      <c r="GE11" s="2296"/>
      <c r="GF11" s="2296"/>
      <c r="GG11" s="2236"/>
      <c r="GH11" s="2236"/>
      <c r="GI11" s="2236"/>
      <c r="GJ11" s="2236"/>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1949" t="s">
        <v>40</v>
      </c>
      <c r="B12" s="1950" t="s">
        <v>130</v>
      </c>
      <c r="C12" s="1950" t="s">
        <v>31</v>
      </c>
      <c r="D12" s="1950" t="s">
        <v>25</v>
      </c>
      <c r="E12" s="1951"/>
      <c r="F12" s="1952" t="s">
        <v>88</v>
      </c>
      <c r="G12" s="1925" t="s">
        <v>9</v>
      </c>
      <c r="H12" s="1923"/>
      <c r="I12" s="1923"/>
      <c r="J12" s="1923" t="s">
        <v>10</v>
      </c>
      <c r="K12" s="1923"/>
      <c r="L12" s="1926"/>
      <c r="M12" s="1953" t="s">
        <v>11</v>
      </c>
      <c r="N12" s="1954"/>
      <c r="O12" s="1955" t="s">
        <v>12</v>
      </c>
      <c r="P12" s="1920"/>
      <c r="Q12" s="1920" t="s">
        <v>13</v>
      </c>
      <c r="R12" s="1921"/>
      <c r="S12" s="1922" t="s">
        <v>14</v>
      </c>
      <c r="T12" s="1923"/>
      <c r="U12" s="1923"/>
      <c r="V12" s="1923"/>
      <c r="W12" s="1924"/>
      <c r="X12" s="1925" t="s">
        <v>111</v>
      </c>
      <c r="Y12" s="1926"/>
      <c r="Z12" s="1116" t="s">
        <v>15</v>
      </c>
      <c r="AA12" s="2270" t="s">
        <v>939</v>
      </c>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282" t="s">
        <v>82</v>
      </c>
      <c r="AS12" s="2283"/>
      <c r="AT12" s="2283"/>
      <c r="AU12" s="2283"/>
      <c r="AV12" s="2283"/>
      <c r="AW12" s="2283"/>
      <c r="AX12" s="2283"/>
      <c r="AY12" s="2283"/>
      <c r="AZ12" s="2283"/>
      <c r="BA12" s="2283"/>
      <c r="BB12" s="2283"/>
      <c r="BC12" s="2283"/>
      <c r="BD12" s="2283"/>
      <c r="BE12" s="2283"/>
      <c r="BF12" s="2283"/>
      <c r="BG12" s="2283"/>
      <c r="BH12" s="1416"/>
      <c r="BJ12" s="117"/>
      <c r="BK12" s="117"/>
      <c r="BL12" s="117"/>
      <c r="BM12" s="117"/>
      <c r="BN12" s="117"/>
      <c r="BO12" s="117"/>
      <c r="BW12" s="2267" t="s">
        <v>630</v>
      </c>
      <c r="BX12" s="2268"/>
      <c r="BY12" s="2268"/>
      <c r="BZ12" s="2269"/>
      <c r="CA12" s="105"/>
      <c r="CB12" s="2094" t="s">
        <v>613</v>
      </c>
      <c r="CC12" s="2169" t="s">
        <v>130</v>
      </c>
      <c r="CD12" s="2096" t="s">
        <v>478</v>
      </c>
      <c r="CE12" s="2163" t="s">
        <v>1291</v>
      </c>
      <c r="CF12" s="2164"/>
      <c r="CG12" s="1958" t="s">
        <v>1292</v>
      </c>
      <c r="CH12" s="1960" t="s">
        <v>595</v>
      </c>
      <c r="CI12" s="1961"/>
      <c r="CJ12" s="1960" t="s">
        <v>596</v>
      </c>
      <c r="CK12" s="1961"/>
      <c r="CL12" s="1977" t="s">
        <v>488</v>
      </c>
      <c r="CM12" s="1979" t="s">
        <v>790</v>
      </c>
      <c r="CN12" s="2238" t="s">
        <v>1276</v>
      </c>
      <c r="CO12" s="2239"/>
      <c r="CP12" s="2240"/>
      <c r="CQ12" s="1964" t="s">
        <v>1292</v>
      </c>
      <c r="CR12" s="1966" t="s">
        <v>595</v>
      </c>
      <c r="CS12" s="1967"/>
      <c r="CT12" s="1966" t="s">
        <v>596</v>
      </c>
      <c r="CU12" s="1967"/>
      <c r="CV12" s="2167" t="s">
        <v>488</v>
      </c>
      <c r="CW12" s="1975" t="s">
        <v>790</v>
      </c>
      <c r="CX12" s="2241" t="s">
        <v>1276</v>
      </c>
      <c r="CY12" s="2242"/>
      <c r="CZ12" s="2243"/>
      <c r="DA12" s="1956" t="s">
        <v>806</v>
      </c>
      <c r="DB12" s="2249"/>
      <c r="DC12" s="2177"/>
      <c r="DD12" s="1972" t="s">
        <v>1284</v>
      </c>
      <c r="DE12" s="1974" t="s">
        <v>1285</v>
      </c>
      <c r="DF12" s="141"/>
      <c r="DG12" s="141"/>
      <c r="DH12" s="2189"/>
      <c r="DI12" s="2196" t="s">
        <v>1289</v>
      </c>
      <c r="DJ12" s="2198" t="s">
        <v>32</v>
      </c>
      <c r="DK12" s="2199"/>
      <c r="DL12" s="2180" t="s">
        <v>34</v>
      </c>
      <c r="DM12" s="2179" t="s">
        <v>489</v>
      </c>
      <c r="DN12" s="2191"/>
      <c r="DO12" s="2186"/>
      <c r="DP12" s="2299"/>
      <c r="DQ12" s="2202" t="s">
        <v>602</v>
      </c>
      <c r="DR12" s="2227"/>
      <c r="DS12" s="2202" t="s">
        <v>604</v>
      </c>
      <c r="DT12" s="2204" t="s">
        <v>605</v>
      </c>
      <c r="DU12" s="2205"/>
      <c r="DV12" s="2280" t="s">
        <v>598</v>
      </c>
      <c r="DW12" s="2281"/>
      <c r="DX12" s="2036" t="s">
        <v>1287</v>
      </c>
      <c r="DY12" s="2194" t="s">
        <v>1288</v>
      </c>
      <c r="DZ12" s="2280" t="s">
        <v>598</v>
      </c>
      <c r="EA12" s="2281"/>
      <c r="EB12" s="2036" t="s">
        <v>1287</v>
      </c>
      <c r="EC12" s="2194" t="s">
        <v>1288</v>
      </c>
      <c r="ED12" s="2280" t="s">
        <v>598</v>
      </c>
      <c r="EE12" s="2281"/>
      <c r="EF12" s="2036" t="s">
        <v>1287</v>
      </c>
      <c r="EG12" s="2194" t="s">
        <v>1288</v>
      </c>
      <c r="EH12" s="2280" t="s">
        <v>598</v>
      </c>
      <c r="EI12" s="2281"/>
      <c r="EJ12" s="2036" t="s">
        <v>1287</v>
      </c>
      <c r="EK12" s="2038" t="s">
        <v>1288</v>
      </c>
      <c r="EL12" s="241"/>
      <c r="EM12" s="1981" t="s">
        <v>789</v>
      </c>
      <c r="EN12" s="1983" t="s">
        <v>588</v>
      </c>
      <c r="EO12" s="1984"/>
      <c r="EP12" s="1984"/>
      <c r="EQ12" s="1981" t="s">
        <v>589</v>
      </c>
      <c r="ER12" s="1970" t="s">
        <v>786</v>
      </c>
      <c r="ES12" s="1971"/>
      <c r="ET12" s="2261"/>
      <c r="EU12" s="2262"/>
      <c r="FW12" s="2"/>
      <c r="FX12" s="2"/>
      <c r="FY12" s="2"/>
      <c r="FZ12" s="2"/>
      <c r="GA12" s="2043" t="s">
        <v>708</v>
      </c>
      <c r="GB12" s="2044"/>
      <c r="GC12" s="2043" t="s">
        <v>558</v>
      </c>
      <c r="GD12" s="2044"/>
      <c r="GE12" s="2087" t="s">
        <v>711</v>
      </c>
      <c r="GF12" s="2089" t="s">
        <v>632</v>
      </c>
      <c r="GG12" s="2043" t="s">
        <v>1142</v>
      </c>
      <c r="GH12" s="2044"/>
      <c r="GI12" s="2043" t="s">
        <v>1141</v>
      </c>
      <c r="GJ12" s="2044"/>
      <c r="GK12" s="2047" t="s">
        <v>712</v>
      </c>
      <c r="GL12" s="2047" t="s">
        <v>713</v>
      </c>
      <c r="GM12" s="2047" t="s">
        <v>714</v>
      </c>
      <c r="HA12" s="2053" t="s">
        <v>632</v>
      </c>
      <c r="HB12" s="2029" t="s">
        <v>1134</v>
      </c>
      <c r="HC12" s="2029" t="s">
        <v>1159</v>
      </c>
      <c r="HD12" s="2029" t="str">
        <f>IF($HA$1,"Bay Length","Overall Length")</f>
        <v>Overall Length</v>
      </c>
      <c r="HE12" s="2030"/>
      <c r="HF12" s="2029" t="str">
        <f>IF($HA$1,"L Sect #","TC Width")</f>
        <v>TC Width</v>
      </c>
      <c r="HG12" s="1987" t="str">
        <f>IF($HA$1,"L Min Sup Wid","TCXL Feet")</f>
        <v>TCXL Feet</v>
      </c>
      <c r="HH12" s="1987" t="str">
        <f>IF($HA$1,"L Max Sup Wid","TCXL Inch")</f>
        <v>TCXL Inch</v>
      </c>
      <c r="HI12" s="1987" t="str">
        <f>IF($HA$1,"L Min Flg Ga","TCXL Type")</f>
        <v>TCXL Type</v>
      </c>
      <c r="HJ12" s="1987" t="str">
        <f>IF($HA$1,"L Max Flg Ga","TCXR Feet")</f>
        <v>TCXR Feet</v>
      </c>
      <c r="HK12" s="1987" t="str">
        <f>IF($HA$1,"L Skew","TCXR Inch")</f>
        <v>TCXR Inch</v>
      </c>
      <c r="HL12" s="1987" t="str">
        <f>IF($HA$1,"L Brg Slp","TCXR Type")</f>
        <v>TCXR Type</v>
      </c>
      <c r="HM12" s="2029" t="str">
        <f>IF($HA$1,"R Sect #","BDL")</f>
        <v>BDL</v>
      </c>
      <c r="HN12" s="1987" t="str">
        <f>IF($HA$1,"R Min Sup Wid","BDR")</f>
        <v>BDR</v>
      </c>
      <c r="HO12" s="1987" t="str">
        <f>IF($HA$1,"R Max Sup Wid","BCXL Feet")</f>
        <v>BCXL Feet</v>
      </c>
      <c r="HP12" s="1987" t="str">
        <f>IF($HA$1,"R Min Flg Ga","BCXL Inch")</f>
        <v>BCXL Inch</v>
      </c>
      <c r="HQ12" s="1987" t="str">
        <f>IF($HA$1,"R Max Flg Ga","BCXR Feet")</f>
        <v>BCXR Feet</v>
      </c>
      <c r="HR12" s="1987" t="str">
        <f>IF($HA$1,"R Skew","BCXR Inch")</f>
        <v>BCXR Inch</v>
      </c>
      <c r="HS12" s="1987" t="str">
        <f>IF($HA$1,"R Brg Slp","HL Feet")</f>
        <v>HL Feet</v>
      </c>
      <c r="HT12" s="1987" t="str">
        <f>IF($HA$1,"TC Slope","HL Inch")</f>
        <v>HL Inch</v>
      </c>
      <c r="HU12" s="1987" t="str">
        <f>IF($HA$1,"Load Notes","HR Feet")</f>
        <v>HR Feet</v>
      </c>
      <c r="HV12" s="1987" t="str">
        <f>IF($HA$1,"Spcl Notes","HR Inch")</f>
        <v>HR Inch</v>
      </c>
      <c r="HW12" s="1987" t="str">
        <f>IF($HA$1,"# KB","Slot Ga")</f>
        <v>Slot Ga</v>
      </c>
      <c r="HX12" s="1987" t="str">
        <f>IF($HA$1,"TC Width","L Seat Slp")</f>
        <v>L Seat Slp</v>
      </c>
      <c r="HY12" s="1987" t="str">
        <f>IF($HA$1,"TCL Override","R Seat Slp")</f>
        <v>R Seat Slp</v>
      </c>
      <c r="HZ12" s="1987" t="str">
        <f>IF($HA$1,"TCR Override","Load Notes")</f>
        <v>Load Notes</v>
      </c>
      <c r="IA12" s="1987" t="str">
        <f>IF($HA$1,"L-BL Override","Spcl Notes")</f>
        <v>Spcl Notes</v>
      </c>
      <c r="IB12" s="1989" t="str">
        <f>IF($HA$1,"R-BL Override","# KB")</f>
        <v># KB</v>
      </c>
      <c r="IC12" s="1987" t="str">
        <f>IF($HA$1,"BDL Override","-")</f>
        <v>-</v>
      </c>
      <c r="ID12" s="2265" t="str">
        <f>IF($HA$1,"BDR Override","-")</f>
        <v>-</v>
      </c>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93"/>
      <c r="JN12" s="1193"/>
      <c r="JO12" s="1193"/>
    </row>
    <row r="13" spans="1:276" ht="21" customHeight="1" thickTop="1" thickBot="1" x14ac:dyDescent="0.3">
      <c r="A13" s="1949"/>
      <c r="B13" s="1950"/>
      <c r="C13" s="1950"/>
      <c r="D13" s="1950"/>
      <c r="E13" s="1951"/>
      <c r="F13" s="1952"/>
      <c r="G13" s="1929" t="s">
        <v>16</v>
      </c>
      <c r="H13" s="1930"/>
      <c r="I13" s="1102" t="s">
        <v>732</v>
      </c>
      <c r="J13" s="1930" t="s">
        <v>16</v>
      </c>
      <c r="K13" s="1930"/>
      <c r="L13" s="1065" t="s">
        <v>732</v>
      </c>
      <c r="M13" s="1106" t="s">
        <v>18</v>
      </c>
      <c r="N13" s="461" t="s">
        <v>19</v>
      </c>
      <c r="O13" s="1955"/>
      <c r="P13" s="1920"/>
      <c r="Q13" s="1920"/>
      <c r="R13" s="1921"/>
      <c r="S13" s="1931" t="s">
        <v>80</v>
      </c>
      <c r="T13" s="1930"/>
      <c r="U13" s="1930" t="s">
        <v>81</v>
      </c>
      <c r="V13" s="1930"/>
      <c r="W13" s="461" t="s">
        <v>27</v>
      </c>
      <c r="X13" s="1101" t="s">
        <v>112</v>
      </c>
      <c r="Y13" s="1065" t="s">
        <v>113</v>
      </c>
      <c r="Z13" s="1117" t="s">
        <v>57</v>
      </c>
      <c r="AA13" s="2271"/>
      <c r="AB13" s="1949"/>
      <c r="AC13" s="2106"/>
      <c r="AD13" s="2137"/>
      <c r="AE13" s="2138"/>
      <c r="AF13" s="1102" t="s">
        <v>33</v>
      </c>
      <c r="AG13" s="1930" t="s">
        <v>16</v>
      </c>
      <c r="AH13" s="1930"/>
      <c r="AI13" s="2137"/>
      <c r="AJ13" s="2138"/>
      <c r="AK13" s="2152"/>
      <c r="AL13" s="1118" t="s">
        <v>738</v>
      </c>
      <c r="AM13" s="1103" t="s">
        <v>735</v>
      </c>
      <c r="AN13" s="1103" t="s">
        <v>736</v>
      </c>
      <c r="AO13" s="1104"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95"/>
      <c r="CC13" s="2168"/>
      <c r="CD13" s="1968"/>
      <c r="CE13" s="2165"/>
      <c r="CF13" s="2166"/>
      <c r="CG13" s="1959"/>
      <c r="CH13" s="1962"/>
      <c r="CI13" s="1963"/>
      <c r="CJ13" s="1962"/>
      <c r="CK13" s="1963"/>
      <c r="CL13" s="1978"/>
      <c r="CM13" s="1980"/>
      <c r="CN13" s="1546" t="s">
        <v>1283</v>
      </c>
      <c r="CO13" s="1547" t="s">
        <v>1278</v>
      </c>
      <c r="CP13" s="1548" t="s">
        <v>501</v>
      </c>
      <c r="CQ13" s="1965"/>
      <c r="CR13" s="1968"/>
      <c r="CS13" s="1969"/>
      <c r="CT13" s="1968"/>
      <c r="CU13" s="1969"/>
      <c r="CV13" s="2168"/>
      <c r="CW13" s="1976"/>
      <c r="CX13" s="1546" t="s">
        <v>1283</v>
      </c>
      <c r="CY13" s="1547" t="s">
        <v>1278</v>
      </c>
      <c r="CZ13" s="1548" t="s">
        <v>501</v>
      </c>
      <c r="DA13" s="1957"/>
      <c r="DB13" s="431" t="s">
        <v>418</v>
      </c>
      <c r="DC13" s="432" t="s">
        <v>553</v>
      </c>
      <c r="DD13" s="1973"/>
      <c r="DE13" s="1973"/>
      <c r="DF13" s="141"/>
      <c r="DG13" s="141"/>
      <c r="DH13" s="2190"/>
      <c r="DI13" s="2197"/>
      <c r="DJ13" s="2200"/>
      <c r="DK13" s="2201"/>
      <c r="DL13" s="2181"/>
      <c r="DM13" s="2192"/>
      <c r="DN13" s="2193"/>
      <c r="DO13" s="2187"/>
      <c r="DP13" s="2300"/>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241"/>
      <c r="EM13" s="1982"/>
      <c r="EN13" s="522" t="s">
        <v>585</v>
      </c>
      <c r="EO13" s="433" t="s">
        <v>586</v>
      </c>
      <c r="EP13" s="434" t="s">
        <v>587</v>
      </c>
      <c r="EQ13" s="198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088"/>
      <c r="GF13" s="2088"/>
      <c r="GG13" s="542" t="s">
        <v>709</v>
      </c>
      <c r="GH13" s="543" t="s">
        <v>710</v>
      </c>
      <c r="GI13" s="542" t="s">
        <v>709</v>
      </c>
      <c r="GJ13" s="543" t="s">
        <v>710</v>
      </c>
      <c r="GK13" s="2048"/>
      <c r="GL13" s="2048"/>
      <c r="GM13" s="2048"/>
      <c r="HA13" s="2289"/>
      <c r="HB13" s="2263"/>
      <c r="HC13" s="2263"/>
      <c r="HD13" s="2263"/>
      <c r="HE13" s="2263"/>
      <c r="HF13" s="2263"/>
      <c r="HG13" s="2263"/>
      <c r="HH13" s="2263"/>
      <c r="HI13" s="2263"/>
      <c r="HJ13" s="2263"/>
      <c r="HK13" s="2263"/>
      <c r="HL13" s="2263"/>
      <c r="HM13" s="2263"/>
      <c r="HN13" s="2263"/>
      <c r="HO13" s="2263"/>
      <c r="HP13" s="2263"/>
      <c r="HQ13" s="2263"/>
      <c r="HR13" s="2263"/>
      <c r="HS13" s="2263"/>
      <c r="HT13" s="2263"/>
      <c r="HU13" s="2263"/>
      <c r="HV13" s="2263"/>
      <c r="HW13" s="2263"/>
      <c r="HX13" s="2263"/>
      <c r="HY13" s="2263"/>
      <c r="HZ13" s="2263"/>
      <c r="IA13" s="2263"/>
      <c r="IB13" s="2264"/>
      <c r="IC13" s="2263"/>
      <c r="ID13" s="2266"/>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93"/>
      <c r="JN13" s="1193"/>
      <c r="JO13" s="1193"/>
    </row>
    <row r="14" spans="1:276" ht="12.6" customHeight="1" thickTop="1" x14ac:dyDescent="0.25">
      <c r="A14" s="1733" t="s">
        <v>1417</v>
      </c>
      <c r="B14" s="1766">
        <v>2</v>
      </c>
      <c r="C14" s="1767" t="s">
        <v>1793</v>
      </c>
      <c r="D14" s="1735">
        <v>55</v>
      </c>
      <c r="E14" s="1768">
        <v>6.25</v>
      </c>
      <c r="F14" s="1769">
        <v>11.125</v>
      </c>
      <c r="G14" s="1743">
        <v>0</v>
      </c>
      <c r="H14" s="1736">
        <v>1.75</v>
      </c>
      <c r="I14" s="1734" t="s">
        <v>113</v>
      </c>
      <c r="J14" s="1735">
        <v>0</v>
      </c>
      <c r="K14" s="1736">
        <v>0.5</v>
      </c>
      <c r="L14" s="1770" t="s">
        <v>113</v>
      </c>
      <c r="M14" s="1741">
        <v>7.5</v>
      </c>
      <c r="N14" s="1771">
        <v>7.5</v>
      </c>
      <c r="O14" s="1743">
        <v>0</v>
      </c>
      <c r="P14" s="1736">
        <v>6.75</v>
      </c>
      <c r="Q14" s="1735">
        <v>0</v>
      </c>
      <c r="R14" s="1768">
        <v>5.5</v>
      </c>
      <c r="S14" s="1772">
        <v>0</v>
      </c>
      <c r="T14" s="1736">
        <v>6.25</v>
      </c>
      <c r="U14" s="1735">
        <v>0</v>
      </c>
      <c r="V14" s="1736">
        <v>5</v>
      </c>
      <c r="W14" s="1771">
        <v>5</v>
      </c>
      <c r="X14" s="1773" t="str">
        <f t="shared" ref="X14:X45" si="0">IF(EN54="","",EN54)</f>
        <v/>
      </c>
      <c r="Y14" s="1774" t="str">
        <f t="shared" ref="Y14:Y45" si="1">IF(ES54="","",ES54)</f>
        <v/>
      </c>
      <c r="Z14" s="1717" t="s">
        <v>1794</v>
      </c>
      <c r="AA14" s="1775" t="str">
        <f t="shared" ref="AA14:AA45" si="2">IF(ISBLANK(DD14),"",DD14)</f>
        <v/>
      </c>
      <c r="AB14" s="1733" t="s">
        <v>1417</v>
      </c>
      <c r="AC14" s="1734" t="s">
        <v>35</v>
      </c>
      <c r="AD14" s="1735">
        <v>6</v>
      </c>
      <c r="AE14" s="1736">
        <v>0.375</v>
      </c>
      <c r="AF14" s="1734">
        <v>7</v>
      </c>
      <c r="AG14" s="1735">
        <v>6</v>
      </c>
      <c r="AH14" s="1736">
        <v>2.75</v>
      </c>
      <c r="AI14" s="1735">
        <v>5</v>
      </c>
      <c r="AJ14" s="1736">
        <v>8.375</v>
      </c>
      <c r="AK14" s="1737" t="str">
        <f t="shared" ref="AK14:AO45" si="3">IF(ISBLANK(DO14),"",DO14)</f>
        <v/>
      </c>
      <c r="AL14" s="1738" t="s">
        <v>35</v>
      </c>
      <c r="AM14" s="1739">
        <v>5</v>
      </c>
      <c r="AN14" s="1734">
        <v>13</v>
      </c>
      <c r="AO14" s="1771">
        <v>4</v>
      </c>
      <c r="AP14" s="1741">
        <v>1.75</v>
      </c>
      <c r="AQ14" s="1742" t="str">
        <f t="shared" ref="AP14:AQ45" si="4">IF(ISERROR(GE54),"ERR",IF(OR(GE54="",GE54=0),"",GE54))</f>
        <v/>
      </c>
      <c r="AR14" s="1743" t="str">
        <f t="shared" ref="AR14:AR45" si="5">IF(ISERROR(GF54),"ERR",IF(GF54="","",IF(ISTEXT(GF54),"P",TRUNC(GF54/12))))</f>
        <v/>
      </c>
      <c r="AS14" s="1736" t="str">
        <f t="shared" ref="AS14:AS45" si="6">IF(ISERROR(GF54),"",IF(GF54="","",IF(AR14="P",GF54,GF54-(AR14*12))))</f>
        <v/>
      </c>
      <c r="AT14" s="1744" t="str">
        <f t="shared" ref="AT14:AT45" si="7">IF(ISBLANK(DX14),"",DX14)</f>
        <v/>
      </c>
      <c r="AU14" s="1746" t="str">
        <f t="shared" ref="AU14:AU45" si="8">IF(ISBLANK(DY14),"",UPPER(DY14))</f>
        <v/>
      </c>
      <c r="AV14" s="1772" t="str">
        <f t="shared" ref="AV14:AV45" si="9">IF(ISERROR(GG54),"ERR",IF(GG54="","",IF(ISTEXT(GG54),"P",TRUNC(GG54/12))))</f>
        <v/>
      </c>
      <c r="AW14" s="1736" t="str">
        <f t="shared" ref="AW14:AW45" si="10">IF(ISERROR(GG54),"",IF(GG54="","",IF(AV14="P",GG54,GG54-(AV14*12))))</f>
        <v/>
      </c>
      <c r="AX14" s="1744" t="str">
        <f t="shared" ref="AX14:AX45" si="11">IF(ISBLANK(EB14),"",EB14)</f>
        <v/>
      </c>
      <c r="AY14" s="1746" t="str">
        <f t="shared" ref="AY14:AY45" si="12">IF(ISBLANK(EC14),"",UPPER(EC14))</f>
        <v/>
      </c>
      <c r="AZ14" s="1772" t="str">
        <f t="shared" ref="AZ14:AZ45" si="13">IF(ISERROR(GH54),"ERR",IF(GH54="","",IF(ISTEXT(GH54),"P",TRUNC(GH54/12))))</f>
        <v/>
      </c>
      <c r="BA14" s="1736" t="str">
        <f t="shared" ref="BA14:BA45" si="14">IF(ISERROR(GH54),"",IF(GH54="","",IF(AZ14="P",GH54,GH54-(AZ14*12))))</f>
        <v/>
      </c>
      <c r="BB14" s="1744" t="str">
        <f t="shared" ref="BB14:BB45" si="15">IF(ISBLANK(EF14),"",EF14)</f>
        <v/>
      </c>
      <c r="BC14" s="1746" t="str">
        <f t="shared" ref="BC14:BC45" si="16">IF(ISBLANK(EG14),"",UPPER(EG14))</f>
        <v/>
      </c>
      <c r="BD14" s="1772" t="str">
        <f t="shared" ref="BD14:BD45" si="17">IF(ISERROR(GI54),"ERR",IF(GI54="","",IF(ISTEXT(GI54),"P",TRUNC(GI54/12))))</f>
        <v/>
      </c>
      <c r="BE14" s="1736" t="str">
        <f t="shared" ref="BE14:BE45" si="18">IF(ISERROR(GI54),"",IF(GI54="","",IF(BD14="P",GI54,GI54-(BD14*12))))</f>
        <v/>
      </c>
      <c r="BF14" s="1744" t="str">
        <f t="shared" ref="BF14:BF45" si="19">IF(ISBLANK(EJ14),"",EJ14)</f>
        <v/>
      </c>
      <c r="BG14" s="1746" t="str">
        <f t="shared" ref="BG14:BG45" si="20">IF(ISBLANK(EK14),"",UPPER(EK14))</f>
        <v/>
      </c>
      <c r="BH14" s="1416"/>
      <c r="BJ14" s="995" t="str">
        <f>IF(OR(ISBLANK(A14),A14=""),"",A14)</f>
        <v>G17</v>
      </c>
      <c r="BK14" s="993" t="b">
        <f t="shared" ref="BK14:BK45" si="21">IF($BK$1,IF(BJ14=BJ13,BK13,IF(AND(BJ14&lt;&gt;"",OR(B14=0,B14="")),TRUE,FALSE)),FALSE)</f>
        <v>0</v>
      </c>
      <c r="BL14" s="1800" t="b">
        <v>0</v>
      </c>
      <c r="BM14" s="989">
        <f t="shared" ref="BM14:BM45" si="22">IF(C14="",0,VALUE(IF(BN14="","",LEFT(C14,SEARCH(BN14,C14)-1))))</f>
        <v>52</v>
      </c>
      <c r="BN14" s="989" t="str">
        <f t="shared" ref="BN14:BN45" si="23">IF(C14="",0,IF(NOT(ISERROR(SEARCH("VG",C14))),"VG",IF(NOT(ISERROR(SEARCH("BG",C14))),"BG",IF(NOT(ISERROR(SEARCH("G",C14))),"G"))))</f>
        <v>VG</v>
      </c>
      <c r="BO14" s="989">
        <f t="shared" ref="BO14:BO45" si="24">IF(C14="",0,VALUE(MID(C14,SEARCH(BN14,C14)+LEN(BN14),SEARCH("N",C14)-SEARCH(BN14,C14)-LEN(BN14))))</f>
        <v>9</v>
      </c>
      <c r="BP14" s="989" t="str">
        <f t="shared" ref="BP14:BP45" si="2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18.3/10.8</v>
      </c>
      <c r="BQ14" s="989">
        <f t="shared" ref="BQ14:BQ45" si="26">IF(ISERROR(SEARCH("F",C14)),IF(C14="",0,IF(SEARCH("K",C14)=LEN(C14),0,VALUE(MID(C14,SEARCH("K",C14)+1,LEN(C14))))),IF(C14="",0,IF(SEARCH("F",C14)=LEN(C14),0,VALUE(MID(C14,SEARCH("F",C14)+1,LEN(C14))))))</f>
        <v>0</v>
      </c>
      <c r="BR14" s="989" t="b">
        <f t="shared" ref="BR14:BR45" si="27">IF(OR(ISERROR(BM14),ISERROR(BN14),ISERROR(BO14),ISERROR(BP14),ISERROR(BQ14)),FALSE,TRUE)</f>
        <v>1</v>
      </c>
      <c r="BS14" s="1302">
        <f t="shared" ref="BS14:BS45" si="28">6+IF(LEFT(I14,1)="R",IF(ISNUMBER(G14),G14*12,0)+IF(ISNUMBER(H14),H14,0),0)</f>
        <v>7.75</v>
      </c>
      <c r="BT14" s="990" t="str">
        <f t="shared" ref="BT14:BT45" si="29">IF(IF(ISNUMBER(S14),S14*12,0)+IF(ISNUMBER(T14),T14,0)&gt;0,IF(AND(IF(ISNUMBER(S14),S14*12,0)+IF(ISNUMBER(T14),T14,0)&gt;=$FE$4/2+$EX$6,IF(ISNUMBER(S14),S14*12,0)+IF(ISNUMBER(T14),T14,0)&lt;=(BS14-($FE$4/2+$EX$6))+IF(I14="X",2,0)),"Yes","No"),"No")</f>
        <v>Yes</v>
      </c>
      <c r="BU14" s="1302">
        <f t="shared" ref="BU14:BU45" si="30">6+IF(LEFT(L14,1)="R",IF(ISNUMBER(J14),J14*12,0)+IF(ISNUMBER(K14),K14,0),0)</f>
        <v>6.5</v>
      </c>
      <c r="BV14" s="990" t="str">
        <f t="shared" ref="BV14:BV45" si="31">IF(IF(ISNUMBER(U14),U14*12,0)+IF(ISNUMBER(V14),V14,0)&gt;0,IF(AND(IF(ISNUMBER(U14),U14*12,0)+IF(ISNUMBER(V14),V14,0)&gt;=$FE$4/2+$EX$6,IF(ISNUMBER(U14),U14*12,0)+IF(ISNUMBER(V14),V14,0)&lt;=(BU14-($FE$4/2+$EX$6))+IF(L14="X",2,0)),"Yes","No"),"No")</f>
        <v>Yes</v>
      </c>
      <c r="BW14" s="991">
        <f t="shared" ref="BW14:BW45" si="32">IF(AB14="",0,1)+IF(AC14="",0,1)+IF(AD14="",0,1)+IF(AE14="",0,1)+IF(AF14="",0,1)+IF(AG14="",0,1)+IF(AH14="",0,1)+IF(AI14="",0,1)+IF(AJ14="",0,1)+IF(AK14="",0,1)+IF(AL14="",0,1)+IF(AM14="",0,1)+IF(AN14="",0,1)+IF(AO14="",0,1)+IF(AP14="",0,1)+IF(AQ14="",0,1)+IF(AR14="",0,1)+IF(AS14="",0,1)+IF(AT14="",0,1)+IF(AU14="",0,1)+IF(AV14="",0,1)+IF(AW14="",0,1)+IF(AX14="",0,1)+IF(AY14="",0,1)+IF(AZ14="",0,1)+IF(BA14="",0,1)+IF(BB14="",0,1)+IF(BC14="",0,1)+IF(BD14="",0,1)+IF(BE14="",0,1)+IF(BF14="",0,1)+IF(BG14="",0,1)</f>
        <v>14</v>
      </c>
      <c r="BX14" s="991" t="str">
        <f t="shared" ref="BX14:BX45" si="33">IF(AND(AB14="",BW14&gt;0),BX13,IF(ISBLANK(AB14),"",AB14))</f>
        <v>G17</v>
      </c>
      <c r="BY14" s="991" t="b">
        <f t="shared" ref="BY14:BY45" si="34">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35">IF(ISBLANK(CB14),"",CB14)</f>
        <v/>
      </c>
      <c r="EN14" s="1425" t="str">
        <f t="shared" ref="EN14:EN45" si="36">IF(DQ54=DR54,"",CONCATENATE(IF(CL14&lt;0,"NS ","FS "),IF(DR54="ERR","Slot Only",CONCATENATE("Slot @ ",DQ54))))</f>
        <v/>
      </c>
      <c r="EO14" s="1426" t="str">
        <f t="shared" ref="EO14:EO45" si="37">IF(DX54=DY54,"",CONCATENATE(IF(CV14&lt;0,"FS ","NS "),IF(DY54="ERR","Slot Only",CONCATENATE("Slot @ ",DX54))))</f>
        <v/>
      </c>
      <c r="EP14" s="1427" t="str">
        <f t="shared" ref="EP14:EP45" si="38">IF(EC54="","",IF(CI54&lt;&gt;EC54,CONCATENATE("LE slots @ ",CI54," Ga."),IF(CR54&lt;&gt;EC54,CONCATENATE("RE slots @ ",CR54," Ga."),"")))</f>
        <v/>
      </c>
      <c r="EQ14" s="1433" t="str">
        <f t="shared" ref="EQ14:EQ45" si="39">IF(AND(ET14&lt;&gt;"",CL14&lt;&gt;"",EU14&lt;&gt;"",CV14&lt;&gt;""),"BE",IF(AND(ET14&lt;&gt;"",CL14&lt;&gt;""),"LE",IF(AND(EU14&lt;&gt;"",CV14&lt;&gt;""),"RE","")))</f>
        <v/>
      </c>
      <c r="ER14" s="1436" t="str">
        <f t="shared" ref="ER14:ER45" si="40">IF(ISBLANK(CO14),"",IF(CEILING(DB54,0.125)&lt;=DC54+$FA$4,"",CEILING(DB54,0.125)))</f>
        <v/>
      </c>
      <c r="ES14" s="1437" t="str">
        <f t="shared" ref="ES14:ES45" si="41">IF(ISBLANK(CY14),"",IF(CEILING(DH54,0.125)&lt;=DI54+$FA$4,"",CEILING(DH54,0.125)))</f>
        <v/>
      </c>
      <c r="ET14" s="1438" t="str">
        <f t="shared" ref="ET14:ET45" si="42">IF(CG14="","",IF($FB$4&gt;EV54,EV54,""))</f>
        <v/>
      </c>
      <c r="EU14" s="1439"/>
      <c r="EX14" s="503" t="str">
        <f>CONCATENATE(BX14,AC14)</f>
        <v>G17B</v>
      </c>
      <c r="EY14" s="940" t="b">
        <f t="shared" ref="EY14:EY45" ca="1" si="43">IF(OR(ISBLANK(AB14),AB14=""),"",VLOOKUP(LEFT(EX14,LEN(EX14)-1),$BJ$14:$BO$45,6,FALSE)=SUMIF($EX$14:$EX$45,EX14,$AF$14:$AF$45)+2)</f>
        <v>1</v>
      </c>
      <c r="EZ14" s="940">
        <f>IF(AB14="","",IF(VLOOKUP(BX14,$A$14:$F$45,6,FALSE)="",0,HLOOKUP(VLOOKUP(BX14,$A$14:$F$45,6,FALSE),$FG$4:$FI$5,2,TRUE)))</f>
        <v>5</v>
      </c>
      <c r="FA14" s="958" t="b">
        <f>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664</v>
      </c>
      <c r="FC14" s="134">
        <f t="shared" ref="FC14:FC45" si="44">IF(ISNUMBER(AD14),AD14,0)*12+IF(ISNUMBER(AE14),AE14,0)</f>
        <v>72.375</v>
      </c>
      <c r="FD14" s="134">
        <f t="shared" ref="FD14:FD45" si="45">IF(ISNUMBER(AF14),AF14,0)*(IF(ISNUMBER(AG14),AG14,0)*12+IF(ISNUMBER(AH14),AH14,0))</f>
        <v>523.25</v>
      </c>
      <c r="FE14" s="134">
        <f t="shared" ref="FE14:FE45" si="46">IF(ISNUMBER(AI14),AI14,0)*12+IF(ISNUMBER(AJ14),AJ14,0)</f>
        <v>68.375</v>
      </c>
      <c r="FF14" s="134">
        <f>SUM(FC14:FE14)+IF(FE14=0,FF15,0)</f>
        <v>664</v>
      </c>
      <c r="FN14" s="754" t="b">
        <v>0</v>
      </c>
      <c r="FO14" s="754" t="b">
        <f t="shared" ref="FO14:FO45" si="47">NOT(ISERROR(VLOOKUP(A14,$AB$14:$AB$45,1,FALSE)))</f>
        <v>1</v>
      </c>
      <c r="FP14" s="754" t="b">
        <v>0</v>
      </c>
      <c r="FQ14" s="754" t="b">
        <f>NOT(ISERROR(VLOOKUP(AB14,$A$14:$A$45,1,FALSE)))</f>
        <v>1</v>
      </c>
      <c r="FW14" s="2"/>
      <c r="FX14" s="2"/>
      <c r="FZ14" s="2"/>
      <c r="GA14" s="1761">
        <v>55</v>
      </c>
      <c r="GB14" s="1762">
        <v>3</v>
      </c>
      <c r="GC14" s="1763">
        <v>-0.25</v>
      </c>
      <c r="GD14" s="1764">
        <v>3.5</v>
      </c>
      <c r="GE14" s="1765">
        <f t="shared" ref="GE14:GE45" si="48">IF(GF14="","",IF(ISBLANK(DA14),IF(X14=Y14,0,MAX(ABS(X14),ABS(Y14))*IF(X14&lt;0,-1,1)),DA14))</f>
        <v>0</v>
      </c>
      <c r="GF14" s="582" t="str">
        <f t="shared" ref="GF14:GF45" si="49">IF(A14=0,"",A14)</f>
        <v>G17</v>
      </c>
      <c r="GG14" s="692">
        <v>0</v>
      </c>
      <c r="GH14" s="1134">
        <v>0</v>
      </c>
      <c r="GI14" s="692"/>
      <c r="GJ14" s="1134"/>
      <c r="GK14" s="1640">
        <f t="shared" ref="GK14:GK45" si="50">IF(D14="",0,D14*12+E14)</f>
        <v>666.25</v>
      </c>
      <c r="GL14" s="1640">
        <f t="shared" ref="GL14:GL45" si="51">(GA14*12+GB14+GC14+GD14)/COS(ATAN(ABS(GE14/12)))</f>
        <v>666.25</v>
      </c>
      <c r="GM14" s="1641">
        <f>IF(ABS(GK14-GL14)&gt;='Job Info.'!$L$22,ABS(GK14-GL14),0)</f>
        <v>0</v>
      </c>
      <c r="HA14" s="1241" t="s">
        <v>1417</v>
      </c>
      <c r="HB14" s="1242">
        <v>2</v>
      </c>
      <c r="HC14" s="1242" t="s">
        <v>1587</v>
      </c>
      <c r="HD14" s="1243">
        <v>55</v>
      </c>
      <c r="HE14" s="1244">
        <v>6.25</v>
      </c>
      <c r="HF14" s="1242">
        <v>11.125</v>
      </c>
      <c r="HG14" s="1242">
        <v>0</v>
      </c>
      <c r="HH14" s="1242">
        <v>1.75</v>
      </c>
      <c r="HI14" s="1242" t="s">
        <v>113</v>
      </c>
      <c r="HJ14" s="1242">
        <v>0</v>
      </c>
      <c r="HK14" s="1242">
        <v>0.5</v>
      </c>
      <c r="HL14" s="1242" t="s">
        <v>113</v>
      </c>
      <c r="HM14" s="1242">
        <v>7.5</v>
      </c>
      <c r="HN14" s="1242">
        <v>7.5</v>
      </c>
      <c r="HO14" s="1242">
        <v>0</v>
      </c>
      <c r="HP14" s="1242">
        <v>6.75</v>
      </c>
      <c r="HQ14" s="1242">
        <v>0</v>
      </c>
      <c r="HR14" s="1242">
        <v>5.5</v>
      </c>
      <c r="HS14" s="1242">
        <v>0</v>
      </c>
      <c r="HT14" s="1242">
        <v>6.25</v>
      </c>
      <c r="HU14" s="1242">
        <v>0</v>
      </c>
      <c r="HV14" s="1242">
        <v>5</v>
      </c>
      <c r="HW14" s="1242">
        <v>5</v>
      </c>
      <c r="HX14" s="1242" t="s">
        <v>116</v>
      </c>
      <c r="HY14" s="1246" t="s">
        <v>116</v>
      </c>
      <c r="HZ14" s="1246" t="s">
        <v>1632</v>
      </c>
      <c r="IA14" s="1246" t="s">
        <v>116</v>
      </c>
      <c r="IB14" s="1246"/>
      <c r="IC14" s="1246"/>
      <c r="ID14" s="1261"/>
      <c r="IE14" s="1256" t="s">
        <v>1417</v>
      </c>
      <c r="IF14" s="1257" t="s">
        <v>35</v>
      </c>
      <c r="IG14" s="1258">
        <v>6</v>
      </c>
      <c r="IH14" s="1259">
        <v>0.375</v>
      </c>
      <c r="II14" s="1257">
        <v>7</v>
      </c>
      <c r="IJ14" s="1258">
        <v>6</v>
      </c>
      <c r="IK14" s="1259">
        <v>2.75</v>
      </c>
      <c r="IL14" s="1257">
        <v>5</v>
      </c>
      <c r="IM14" s="1257">
        <v>8.375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93"/>
      <c r="JN14" s="1193"/>
      <c r="JO14" s="1193"/>
    </row>
    <row r="15" spans="1:276" ht="12.6" customHeight="1" x14ac:dyDescent="0.25">
      <c r="A15" s="1448" t="s">
        <v>1418</v>
      </c>
      <c r="B15" s="1681">
        <v>3</v>
      </c>
      <c r="C15" s="1449" t="s">
        <v>1793</v>
      </c>
      <c r="D15" s="1705">
        <v>55</v>
      </c>
      <c r="E15" s="1706">
        <v>11.5</v>
      </c>
      <c r="F15" s="1707">
        <v>11.125</v>
      </c>
      <c r="G15" s="1708">
        <v>0</v>
      </c>
      <c r="H15" s="1709">
        <v>1.75</v>
      </c>
      <c r="I15" s="1710" t="s">
        <v>113</v>
      </c>
      <c r="J15" s="1705">
        <v>0</v>
      </c>
      <c r="K15" s="1709">
        <v>1.75</v>
      </c>
      <c r="L15" s="1711" t="s">
        <v>113</v>
      </c>
      <c r="M15" s="1712">
        <v>7.5</v>
      </c>
      <c r="N15" s="1713">
        <v>7.5</v>
      </c>
      <c r="O15" s="1708">
        <v>0</v>
      </c>
      <c r="P15" s="1709">
        <v>6.75</v>
      </c>
      <c r="Q15" s="1705">
        <v>0</v>
      </c>
      <c r="R15" s="1706">
        <v>6.75</v>
      </c>
      <c r="S15" s="1714">
        <v>0</v>
      </c>
      <c r="T15" s="1709">
        <v>6.25</v>
      </c>
      <c r="U15" s="1705">
        <v>0</v>
      </c>
      <c r="V15" s="1709">
        <v>6.25</v>
      </c>
      <c r="W15" s="1713">
        <v>5</v>
      </c>
      <c r="X15" s="1715" t="str">
        <f t="shared" si="0"/>
        <v/>
      </c>
      <c r="Y15" s="1716" t="str">
        <f t="shared" si="1"/>
        <v/>
      </c>
      <c r="Z15" s="1717" t="s">
        <v>1795</v>
      </c>
      <c r="AA15" s="1776" t="str">
        <f t="shared" si="2"/>
        <v/>
      </c>
      <c r="AB15" s="1448" t="s">
        <v>1418</v>
      </c>
      <c r="AC15" s="1710" t="s">
        <v>35</v>
      </c>
      <c r="AD15" s="1705">
        <v>6</v>
      </c>
      <c r="AE15" s="1709">
        <v>0.375</v>
      </c>
      <c r="AF15" s="1710">
        <v>7</v>
      </c>
      <c r="AG15" s="1705">
        <v>6</v>
      </c>
      <c r="AH15" s="1709">
        <v>2.75</v>
      </c>
      <c r="AI15" s="1705">
        <v>6</v>
      </c>
      <c r="AJ15" s="1709">
        <v>0.375</v>
      </c>
      <c r="AK15" s="1747" t="str">
        <f t="shared" si="3"/>
        <v/>
      </c>
      <c r="AL15" s="1748" t="s">
        <v>35</v>
      </c>
      <c r="AM15" s="1749">
        <v>5</v>
      </c>
      <c r="AN15" s="1710">
        <v>13</v>
      </c>
      <c r="AO15" s="1713">
        <v>4</v>
      </c>
      <c r="AP15" s="1712">
        <v>1.75</v>
      </c>
      <c r="AQ15" s="1751">
        <v>1.75</v>
      </c>
      <c r="AR15" s="1708" t="str">
        <f t="shared" si="5"/>
        <v/>
      </c>
      <c r="AS15" s="1709" t="str">
        <f t="shared" si="6"/>
        <v/>
      </c>
      <c r="AT15" s="1752" t="str">
        <f t="shared" si="7"/>
        <v/>
      </c>
      <c r="AU15" s="1753" t="str">
        <f t="shared" si="8"/>
        <v/>
      </c>
      <c r="AV15" s="1714" t="str">
        <f t="shared" si="9"/>
        <v/>
      </c>
      <c r="AW15" s="1709" t="str">
        <f t="shared" si="10"/>
        <v/>
      </c>
      <c r="AX15" s="1752" t="str">
        <f t="shared" si="11"/>
        <v/>
      </c>
      <c r="AY15" s="1753" t="str">
        <f t="shared" si="12"/>
        <v/>
      </c>
      <c r="AZ15" s="1714" t="str">
        <f t="shared" si="13"/>
        <v/>
      </c>
      <c r="BA15" s="1709" t="str">
        <f t="shared" si="14"/>
        <v/>
      </c>
      <c r="BB15" s="1752" t="str">
        <f t="shared" si="15"/>
        <v/>
      </c>
      <c r="BC15" s="1753" t="str">
        <f t="shared" si="16"/>
        <v/>
      </c>
      <c r="BD15" s="1714" t="str">
        <f t="shared" si="17"/>
        <v/>
      </c>
      <c r="BE15" s="1709" t="str">
        <f t="shared" si="18"/>
        <v/>
      </c>
      <c r="BF15" s="1752" t="str">
        <f t="shared" si="19"/>
        <v/>
      </c>
      <c r="BG15" s="1753" t="str">
        <f t="shared" si="20"/>
        <v/>
      </c>
      <c r="BH15" s="1416"/>
      <c r="BJ15" s="995" t="str">
        <f>IF(AND(OR(ISBLANK(A15),A15=""),Z15&lt;&gt;""),BJ14,IF(OR(ISBLANK(A15),A15=""),"",A15))</f>
        <v>G18</v>
      </c>
      <c r="BK15" s="993" t="b">
        <f t="shared" si="21"/>
        <v>0</v>
      </c>
      <c r="BL15" s="1800" t="b">
        <v>0</v>
      </c>
      <c r="BM15" s="989">
        <f t="shared" si="22"/>
        <v>52</v>
      </c>
      <c r="BN15" s="989" t="str">
        <f t="shared" si="23"/>
        <v>VG</v>
      </c>
      <c r="BO15" s="989">
        <f t="shared" si="24"/>
        <v>9</v>
      </c>
      <c r="BP15" s="989" t="str">
        <f t="shared" si="25"/>
        <v>18.3/10.8</v>
      </c>
      <c r="BQ15" s="989">
        <f t="shared" si="26"/>
        <v>0</v>
      </c>
      <c r="BR15" s="989" t="b">
        <f t="shared" si="27"/>
        <v>1</v>
      </c>
      <c r="BS15" s="1302">
        <f t="shared" si="28"/>
        <v>7.75</v>
      </c>
      <c r="BT15" s="990" t="str">
        <f t="shared" si="29"/>
        <v>Yes</v>
      </c>
      <c r="BU15" s="1302">
        <f t="shared" si="30"/>
        <v>7.75</v>
      </c>
      <c r="BV15" s="990" t="str">
        <f t="shared" si="31"/>
        <v>Yes</v>
      </c>
      <c r="BW15" s="991">
        <f t="shared" si="32"/>
        <v>15</v>
      </c>
      <c r="BX15" s="991" t="str">
        <f t="shared" si="33"/>
        <v>G18</v>
      </c>
      <c r="BY15" s="991" t="b">
        <f t="shared" si="34"/>
        <v>0</v>
      </c>
      <c r="BZ15" s="991" t="b">
        <f t="shared" ref="BZ15:BZ45" si="52">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35"/>
        <v/>
      </c>
      <c r="EN15" s="1428" t="str">
        <f t="shared" si="36"/>
        <v/>
      </c>
      <c r="EO15" s="1429" t="str">
        <f t="shared" si="37"/>
        <v/>
      </c>
      <c r="EP15" s="1430" t="str">
        <f t="shared" si="38"/>
        <v/>
      </c>
      <c r="EQ15" s="1434" t="str">
        <f t="shared" si="39"/>
        <v/>
      </c>
      <c r="ER15" s="1440" t="str">
        <f t="shared" si="40"/>
        <v/>
      </c>
      <c r="ES15" s="1441" t="str">
        <f t="shared" si="41"/>
        <v/>
      </c>
      <c r="ET15" s="1442" t="str">
        <f t="shared" si="42"/>
        <v/>
      </c>
      <c r="EU15" s="1443" t="str">
        <f t="shared" ref="EU15:EU45" si="53">IF(CQ15="","",IF($FB$4&gt;EW55,EW55,""))</f>
        <v/>
      </c>
      <c r="EX15" s="503" t="str">
        <f t="shared" ref="EX15:EX45" si="54">IF(AND(AC15="",BX15=BX14),EX14,CONCATENATE(BX15,AC15))</f>
        <v>G18B</v>
      </c>
      <c r="EY15" s="940" t="b">
        <f t="shared" ca="1" si="43"/>
        <v>1</v>
      </c>
      <c r="EZ15" s="940">
        <f t="shared" ref="EZ15:EZ45" si="55">IF(AB15="","",IF(VLOOKUP(BX15,$A$14:$F$45,6,FALSE)="",0,HLOOKUP(VLOOKUP(BX15,$A$14:$F$45,6,FALSE),$FG$4:$FI$5,2,TRUE)))</f>
        <v>5</v>
      </c>
      <c r="FA15" s="958" t="b">
        <f>IF(FB15="","",IF(FC15=0,FA14,FB15=FF15))</f>
        <v>1</v>
      </c>
      <c r="FB15" s="134">
        <f t="shared" ref="FB15:FB45" si="56">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668</v>
      </c>
      <c r="FC15" s="134">
        <f t="shared" si="44"/>
        <v>72.375</v>
      </c>
      <c r="FD15" s="134">
        <f t="shared" si="45"/>
        <v>523.25</v>
      </c>
      <c r="FE15" s="134">
        <f t="shared" si="46"/>
        <v>72.375</v>
      </c>
      <c r="FF15" s="134">
        <f t="shared" ref="FF15:FF45" si="57">SUM(FC15:FE15)+IF(FE15=0,FF16,0)</f>
        <v>668</v>
      </c>
      <c r="FN15" s="754" t="b">
        <v>0</v>
      </c>
      <c r="FO15" s="754" t="b">
        <f t="shared" si="47"/>
        <v>1</v>
      </c>
      <c r="FP15" s="754" t="b">
        <v>0</v>
      </c>
      <c r="FQ15" s="754" t="b">
        <f t="shared" ref="FQ15:FQ45" si="58">NOT(ISERROR(VLOOKUP(AB15,$A$14:$A$45,1,FALSE)))</f>
        <v>1</v>
      </c>
      <c r="FW15" s="2"/>
      <c r="FX15" s="2"/>
      <c r="FZ15" s="2"/>
      <c r="GA15" s="1761">
        <v>56</v>
      </c>
      <c r="GB15" s="1762">
        <v>0</v>
      </c>
      <c r="GC15" s="1763">
        <v>-0.25</v>
      </c>
      <c r="GD15" s="1764">
        <v>-0.25</v>
      </c>
      <c r="GE15" s="1765">
        <f t="shared" si="48"/>
        <v>0</v>
      </c>
      <c r="GF15" s="582" t="str">
        <f t="shared" si="49"/>
        <v>G18</v>
      </c>
      <c r="GG15" s="692">
        <v>0</v>
      </c>
      <c r="GH15" s="1135">
        <v>0</v>
      </c>
      <c r="GI15" s="692"/>
      <c r="GJ15" s="1135"/>
      <c r="GK15" s="1640">
        <f t="shared" si="50"/>
        <v>671.5</v>
      </c>
      <c r="GL15" s="1640">
        <f t="shared" si="51"/>
        <v>671.5</v>
      </c>
      <c r="GM15" s="1641">
        <f>IF(ABS(GK15-GL15)&gt;='Job Info.'!$L$22,ABS(GK15-GL15),0)</f>
        <v>0</v>
      </c>
      <c r="HA15" s="1241" t="s">
        <v>1418</v>
      </c>
      <c r="HB15" s="1242">
        <v>3</v>
      </c>
      <c r="HC15" s="1242" t="s">
        <v>1587</v>
      </c>
      <c r="HD15" s="1243">
        <v>55</v>
      </c>
      <c r="HE15" s="1244">
        <v>11.5</v>
      </c>
      <c r="HF15" s="1242">
        <v>11.125</v>
      </c>
      <c r="HG15" s="1242">
        <v>0</v>
      </c>
      <c r="HH15" s="1242">
        <v>1.75</v>
      </c>
      <c r="HI15" s="1242" t="s">
        <v>113</v>
      </c>
      <c r="HJ15" s="1242">
        <v>0</v>
      </c>
      <c r="HK15" s="1242">
        <v>1.75</v>
      </c>
      <c r="HL15" s="1242" t="s">
        <v>113</v>
      </c>
      <c r="HM15" s="1242">
        <v>7.5</v>
      </c>
      <c r="HN15" s="1242">
        <v>7.5</v>
      </c>
      <c r="HO15" s="1242">
        <v>0</v>
      </c>
      <c r="HP15" s="1242">
        <v>6.75</v>
      </c>
      <c r="HQ15" s="1242">
        <v>0</v>
      </c>
      <c r="HR15" s="1242">
        <v>6.75</v>
      </c>
      <c r="HS15" s="1242">
        <v>0</v>
      </c>
      <c r="HT15" s="1242">
        <v>6.25</v>
      </c>
      <c r="HU15" s="1242">
        <v>0</v>
      </c>
      <c r="HV15" s="1242">
        <v>6.25</v>
      </c>
      <c r="HW15" s="1242">
        <v>5</v>
      </c>
      <c r="HX15" s="1242" t="s">
        <v>116</v>
      </c>
      <c r="HY15" s="1246" t="s">
        <v>116</v>
      </c>
      <c r="HZ15" s="1246" t="s">
        <v>1633</v>
      </c>
      <c r="IA15" s="1246" t="s">
        <v>116</v>
      </c>
      <c r="IB15" s="1246"/>
      <c r="IC15" s="1246"/>
      <c r="ID15" s="1261"/>
      <c r="IE15" s="1241" t="s">
        <v>1418</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row>
    <row r="16" spans="1:276" ht="12.6" customHeight="1" x14ac:dyDescent="0.25">
      <c r="A16" s="1448" t="s">
        <v>1419</v>
      </c>
      <c r="B16" s="1681">
        <v>2</v>
      </c>
      <c r="C16" s="1449" t="s">
        <v>1793</v>
      </c>
      <c r="D16" s="1705">
        <v>55</v>
      </c>
      <c r="E16" s="1706">
        <v>11.5</v>
      </c>
      <c r="F16" s="1707">
        <v>11.125</v>
      </c>
      <c r="G16" s="1708">
        <v>0</v>
      </c>
      <c r="H16" s="1709">
        <v>1.75</v>
      </c>
      <c r="I16" s="1710" t="s">
        <v>113</v>
      </c>
      <c r="J16" s="1705">
        <v>0</v>
      </c>
      <c r="K16" s="1709">
        <v>1.75</v>
      </c>
      <c r="L16" s="1711" t="s">
        <v>113</v>
      </c>
      <c r="M16" s="1712">
        <v>7.5</v>
      </c>
      <c r="N16" s="1713">
        <v>7.5</v>
      </c>
      <c r="O16" s="1708">
        <v>0</v>
      </c>
      <c r="P16" s="1709">
        <v>6.75</v>
      </c>
      <c r="Q16" s="1705">
        <v>0</v>
      </c>
      <c r="R16" s="1706">
        <v>6.75</v>
      </c>
      <c r="S16" s="1714">
        <v>0</v>
      </c>
      <c r="T16" s="1709">
        <v>6.25</v>
      </c>
      <c r="U16" s="1705">
        <v>0</v>
      </c>
      <c r="V16" s="1709">
        <v>6.25</v>
      </c>
      <c r="W16" s="1713">
        <v>5</v>
      </c>
      <c r="X16" s="1715" t="str">
        <f t="shared" si="0"/>
        <v/>
      </c>
      <c r="Y16" s="1716" t="str">
        <f t="shared" si="1"/>
        <v/>
      </c>
      <c r="Z16" s="1717" t="s">
        <v>1796</v>
      </c>
      <c r="AA16" s="1776" t="str">
        <f t="shared" si="2"/>
        <v/>
      </c>
      <c r="AB16" s="1448" t="s">
        <v>1419</v>
      </c>
      <c r="AC16" s="1710" t="s">
        <v>35</v>
      </c>
      <c r="AD16" s="1705">
        <v>6</v>
      </c>
      <c r="AE16" s="1709">
        <v>0.375</v>
      </c>
      <c r="AF16" s="1710">
        <v>7</v>
      </c>
      <c r="AG16" s="1705">
        <v>6</v>
      </c>
      <c r="AH16" s="1709">
        <v>2.75</v>
      </c>
      <c r="AI16" s="1705">
        <v>6</v>
      </c>
      <c r="AJ16" s="1709">
        <v>0.375</v>
      </c>
      <c r="AK16" s="1747" t="str">
        <f t="shared" si="3"/>
        <v/>
      </c>
      <c r="AL16" s="1748" t="s">
        <v>35</v>
      </c>
      <c r="AM16" s="1749">
        <v>5</v>
      </c>
      <c r="AN16" s="1710">
        <v>13</v>
      </c>
      <c r="AO16" s="1713">
        <v>4</v>
      </c>
      <c r="AP16" s="1712">
        <v>1.75</v>
      </c>
      <c r="AQ16" s="1751">
        <v>1.75</v>
      </c>
      <c r="AR16" s="1708" t="str">
        <f t="shared" si="5"/>
        <v/>
      </c>
      <c r="AS16" s="1709" t="str">
        <f t="shared" si="6"/>
        <v/>
      </c>
      <c r="AT16" s="1752" t="str">
        <f t="shared" si="7"/>
        <v/>
      </c>
      <c r="AU16" s="1753" t="str">
        <f t="shared" si="8"/>
        <v/>
      </c>
      <c r="AV16" s="1714" t="str">
        <f t="shared" si="9"/>
        <v/>
      </c>
      <c r="AW16" s="1709" t="str">
        <f t="shared" si="10"/>
        <v/>
      </c>
      <c r="AX16" s="1752" t="str">
        <f t="shared" si="11"/>
        <v/>
      </c>
      <c r="AY16" s="1753" t="str">
        <f t="shared" si="12"/>
        <v/>
      </c>
      <c r="AZ16" s="1714" t="str">
        <f t="shared" si="13"/>
        <v/>
      </c>
      <c r="BA16" s="1709" t="str">
        <f t="shared" si="14"/>
        <v/>
      </c>
      <c r="BB16" s="1752" t="str">
        <f t="shared" si="15"/>
        <v/>
      </c>
      <c r="BC16" s="1753" t="str">
        <f t="shared" si="16"/>
        <v/>
      </c>
      <c r="BD16" s="1714" t="str">
        <f t="shared" si="17"/>
        <v/>
      </c>
      <c r="BE16" s="1709" t="str">
        <f t="shared" si="18"/>
        <v/>
      </c>
      <c r="BF16" s="1752" t="str">
        <f t="shared" si="19"/>
        <v/>
      </c>
      <c r="BG16" s="1753" t="str">
        <f t="shared" si="20"/>
        <v/>
      </c>
      <c r="BH16" s="1416"/>
      <c r="BJ16" s="995" t="str">
        <f t="shared" ref="BJ16:BJ45" si="59">IF(AND(OR(ISBLANK(A16),A16=""),Z16&lt;&gt;""),BJ15,IF(OR(ISBLANK(A16),A16=""),"",A16))</f>
        <v>G19</v>
      </c>
      <c r="BK16" s="993" t="b">
        <f t="shared" si="21"/>
        <v>0</v>
      </c>
      <c r="BL16" s="1800" t="b">
        <v>0</v>
      </c>
      <c r="BM16" s="989">
        <f t="shared" si="22"/>
        <v>52</v>
      </c>
      <c r="BN16" s="989" t="str">
        <f t="shared" si="23"/>
        <v>VG</v>
      </c>
      <c r="BO16" s="989">
        <f t="shared" si="24"/>
        <v>9</v>
      </c>
      <c r="BP16" s="989" t="str">
        <f t="shared" si="25"/>
        <v>18.3/10.8</v>
      </c>
      <c r="BQ16" s="989">
        <f t="shared" si="26"/>
        <v>0</v>
      </c>
      <c r="BR16" s="989" t="b">
        <f t="shared" si="27"/>
        <v>1</v>
      </c>
      <c r="BS16" s="1302">
        <f t="shared" si="28"/>
        <v>7.75</v>
      </c>
      <c r="BT16" s="990" t="str">
        <f t="shared" si="29"/>
        <v>Yes</v>
      </c>
      <c r="BU16" s="1302">
        <f t="shared" si="30"/>
        <v>7.75</v>
      </c>
      <c r="BV16" s="990" t="str">
        <f t="shared" si="31"/>
        <v>Yes</v>
      </c>
      <c r="BW16" s="991">
        <f t="shared" si="32"/>
        <v>15</v>
      </c>
      <c r="BX16" s="991" t="str">
        <f t="shared" si="33"/>
        <v>G19</v>
      </c>
      <c r="BY16" s="991" t="b">
        <f t="shared" si="34"/>
        <v>0</v>
      </c>
      <c r="BZ16" s="991" t="b">
        <f t="shared" si="52"/>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35"/>
        <v/>
      </c>
      <c r="EN16" s="1428" t="str">
        <f t="shared" si="36"/>
        <v/>
      </c>
      <c r="EO16" s="1429" t="str">
        <f t="shared" si="37"/>
        <v/>
      </c>
      <c r="EP16" s="1430" t="str">
        <f t="shared" si="38"/>
        <v/>
      </c>
      <c r="EQ16" s="1434" t="str">
        <f t="shared" si="39"/>
        <v/>
      </c>
      <c r="ER16" s="1440" t="str">
        <f t="shared" si="40"/>
        <v/>
      </c>
      <c r="ES16" s="1441" t="str">
        <f t="shared" si="41"/>
        <v/>
      </c>
      <c r="ET16" s="1442" t="str">
        <f t="shared" si="42"/>
        <v/>
      </c>
      <c r="EU16" s="1443" t="str">
        <f t="shared" si="53"/>
        <v/>
      </c>
      <c r="EX16" s="503" t="str">
        <f t="shared" si="54"/>
        <v>G19B</v>
      </c>
      <c r="EY16" s="940" t="b">
        <f t="shared" ca="1" si="43"/>
        <v>1</v>
      </c>
      <c r="EZ16" s="940">
        <f t="shared" si="55"/>
        <v>5</v>
      </c>
      <c r="FA16" s="958" t="b">
        <f t="shared" ref="FA16:FA45" si="60">IF(FB16="","",IF(FC16=0,FA15,FB16=FF16))</f>
        <v>1</v>
      </c>
      <c r="FB16" s="134">
        <f t="shared" si="56"/>
        <v>668</v>
      </c>
      <c r="FC16" s="134">
        <f t="shared" si="44"/>
        <v>72.375</v>
      </c>
      <c r="FD16" s="134">
        <f t="shared" si="45"/>
        <v>523.25</v>
      </c>
      <c r="FE16" s="134">
        <f t="shared" si="46"/>
        <v>72.375</v>
      </c>
      <c r="FF16" s="134">
        <f t="shared" si="57"/>
        <v>668</v>
      </c>
      <c r="FN16" s="754" t="b">
        <v>0</v>
      </c>
      <c r="FO16" s="754" t="b">
        <f t="shared" si="47"/>
        <v>1</v>
      </c>
      <c r="FP16" s="754" t="b">
        <v>0</v>
      </c>
      <c r="FQ16" s="754" t="b">
        <f t="shared" si="58"/>
        <v>1</v>
      </c>
      <c r="FW16" s="2"/>
      <c r="FX16" s="2"/>
      <c r="FZ16" s="2"/>
      <c r="GA16" s="1761">
        <v>56</v>
      </c>
      <c r="GB16" s="1762">
        <v>0</v>
      </c>
      <c r="GC16" s="1763">
        <v>-0.25</v>
      </c>
      <c r="GD16" s="1764">
        <v>-0.25</v>
      </c>
      <c r="GE16" s="1765">
        <f t="shared" si="48"/>
        <v>0</v>
      </c>
      <c r="GF16" s="582" t="str">
        <f t="shared" si="49"/>
        <v>G19</v>
      </c>
      <c r="GG16" s="692">
        <v>0</v>
      </c>
      <c r="GH16" s="1135">
        <v>0</v>
      </c>
      <c r="GI16" s="692"/>
      <c r="GJ16" s="1135"/>
      <c r="GK16" s="1640">
        <f t="shared" si="50"/>
        <v>671.5</v>
      </c>
      <c r="GL16" s="1640">
        <f t="shared" si="51"/>
        <v>671.5</v>
      </c>
      <c r="GM16" s="1641">
        <f>IF(ABS(GK16-GL16)&gt;='Job Info.'!$L$22,ABS(GK16-GL16),0)</f>
        <v>0</v>
      </c>
      <c r="GO16" s="140"/>
      <c r="GP16" s="140"/>
      <c r="GZ16" s="140"/>
      <c r="HA16" s="1241" t="s">
        <v>1419</v>
      </c>
      <c r="HB16" s="1242">
        <v>2</v>
      </c>
      <c r="HC16" s="1242" t="s">
        <v>1587</v>
      </c>
      <c r="HD16" s="1243">
        <v>55</v>
      </c>
      <c r="HE16" s="1244">
        <v>11.5</v>
      </c>
      <c r="HF16" s="1242">
        <v>11.125</v>
      </c>
      <c r="HG16" s="1242">
        <v>0</v>
      </c>
      <c r="HH16" s="1242">
        <v>1.75</v>
      </c>
      <c r="HI16" s="1242" t="s">
        <v>113</v>
      </c>
      <c r="HJ16" s="1242">
        <v>0</v>
      </c>
      <c r="HK16" s="1242">
        <v>1.75</v>
      </c>
      <c r="HL16" s="1242" t="s">
        <v>113</v>
      </c>
      <c r="HM16" s="1242">
        <v>7.5</v>
      </c>
      <c r="HN16" s="1242">
        <v>7.5</v>
      </c>
      <c r="HO16" s="1242">
        <v>0</v>
      </c>
      <c r="HP16" s="1242">
        <v>6.75</v>
      </c>
      <c r="HQ16" s="1242">
        <v>0</v>
      </c>
      <c r="HR16" s="1242">
        <v>6.75</v>
      </c>
      <c r="HS16" s="1242">
        <v>0</v>
      </c>
      <c r="HT16" s="1242">
        <v>6.25</v>
      </c>
      <c r="HU16" s="1242">
        <v>0</v>
      </c>
      <c r="HV16" s="1242">
        <v>6.25</v>
      </c>
      <c r="HW16" s="1242">
        <v>5</v>
      </c>
      <c r="HX16" s="1242" t="s">
        <v>116</v>
      </c>
      <c r="HY16" s="1246" t="s">
        <v>116</v>
      </c>
      <c r="HZ16" s="1246" t="s">
        <v>1634</v>
      </c>
      <c r="IA16" s="1246" t="s">
        <v>116</v>
      </c>
      <c r="IB16" s="1246"/>
      <c r="IC16" s="1246"/>
      <c r="ID16" s="1261"/>
      <c r="IE16" s="1241" t="s">
        <v>1419</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61">IF(ISBLANK(JK16),IF(JL15=0,0,IF(VALUE(OFFSET(JK16,JL15*-1,0))&lt;JL15+1,0,JL15+1)),1)</f>
        <v>1</v>
      </c>
    </row>
    <row r="17" spans="1:272" ht="12.6" customHeight="1" x14ac:dyDescent="0.25">
      <c r="A17" s="1448" t="s">
        <v>1420</v>
      </c>
      <c r="B17" s="1681">
        <v>2</v>
      </c>
      <c r="C17" s="1449" t="s">
        <v>1793</v>
      </c>
      <c r="D17" s="1705">
        <v>55</v>
      </c>
      <c r="E17" s="1706">
        <v>10.875</v>
      </c>
      <c r="F17" s="1707">
        <v>11.125</v>
      </c>
      <c r="G17" s="1708">
        <v>0</v>
      </c>
      <c r="H17" s="1709">
        <v>1.75</v>
      </c>
      <c r="I17" s="1710" t="s">
        <v>113</v>
      </c>
      <c r="J17" s="1705" t="str">
        <f t="shared" ref="J17:J45" si="62">IF(DJ57=0,"",TRUNC(DJ57/12))</f>
        <v/>
      </c>
      <c r="K17" s="1709" t="str">
        <f t="shared" ref="K17:K45" si="63">IF(DJ57=0,"",DJ57-(J17*12))</f>
        <v/>
      </c>
      <c r="L17" s="1711" t="str">
        <f t="shared" ref="L17:L45" si="64">IF(DJ57=0,"",CN57)</f>
        <v/>
      </c>
      <c r="M17" s="1712">
        <v>7.5</v>
      </c>
      <c r="N17" s="1713">
        <v>10</v>
      </c>
      <c r="O17" s="1708">
        <v>0</v>
      </c>
      <c r="P17" s="1709">
        <v>6.75</v>
      </c>
      <c r="Q17" s="1705">
        <v>0</v>
      </c>
      <c r="R17" s="1706">
        <v>6.125</v>
      </c>
      <c r="S17" s="1714">
        <v>0</v>
      </c>
      <c r="T17" s="1709">
        <v>6.25</v>
      </c>
      <c r="U17" s="1705">
        <v>0</v>
      </c>
      <c r="V17" s="1709">
        <v>2.125</v>
      </c>
      <c r="W17" s="1713">
        <v>5</v>
      </c>
      <c r="X17" s="1715" t="str">
        <f t="shared" si="0"/>
        <v/>
      </c>
      <c r="Y17" s="1716" t="str">
        <f t="shared" si="1"/>
        <v/>
      </c>
      <c r="Z17" s="1717" t="s">
        <v>1797</v>
      </c>
      <c r="AA17" s="1776" t="str">
        <f t="shared" si="2"/>
        <v/>
      </c>
      <c r="AB17" s="1448" t="s">
        <v>1420</v>
      </c>
      <c r="AC17" s="1710" t="s">
        <v>35</v>
      </c>
      <c r="AD17" s="1705">
        <v>6</v>
      </c>
      <c r="AE17" s="1709">
        <v>0.375</v>
      </c>
      <c r="AF17" s="1710">
        <v>7</v>
      </c>
      <c r="AG17" s="1705">
        <v>6</v>
      </c>
      <c r="AH17" s="1709">
        <v>2.75</v>
      </c>
      <c r="AI17" s="1705">
        <v>6</v>
      </c>
      <c r="AJ17" s="1709">
        <v>1.5</v>
      </c>
      <c r="AK17" s="1747" t="str">
        <f t="shared" si="3"/>
        <v/>
      </c>
      <c r="AL17" s="1748" t="s">
        <v>35</v>
      </c>
      <c r="AM17" s="1749">
        <v>5</v>
      </c>
      <c r="AN17" s="1710">
        <v>13</v>
      </c>
      <c r="AO17" s="1713">
        <v>4</v>
      </c>
      <c r="AP17" s="1712">
        <v>1.75</v>
      </c>
      <c r="AQ17" s="1751" t="str">
        <f t="shared" si="4"/>
        <v/>
      </c>
      <c r="AR17" s="1708" t="str">
        <f t="shared" si="5"/>
        <v/>
      </c>
      <c r="AS17" s="1709" t="str">
        <f t="shared" si="6"/>
        <v/>
      </c>
      <c r="AT17" s="1752" t="str">
        <f t="shared" si="7"/>
        <v/>
      </c>
      <c r="AU17" s="1753" t="str">
        <f t="shared" si="8"/>
        <v/>
      </c>
      <c r="AV17" s="1714" t="str">
        <f t="shared" si="9"/>
        <v/>
      </c>
      <c r="AW17" s="1709" t="str">
        <f t="shared" si="10"/>
        <v/>
      </c>
      <c r="AX17" s="1752" t="str">
        <f t="shared" si="11"/>
        <v/>
      </c>
      <c r="AY17" s="1753" t="str">
        <f t="shared" si="12"/>
        <v/>
      </c>
      <c r="AZ17" s="1714" t="str">
        <f t="shared" si="13"/>
        <v/>
      </c>
      <c r="BA17" s="1709" t="str">
        <f t="shared" si="14"/>
        <v/>
      </c>
      <c r="BB17" s="1752" t="str">
        <f t="shared" si="15"/>
        <v/>
      </c>
      <c r="BC17" s="1753" t="str">
        <f t="shared" si="16"/>
        <v/>
      </c>
      <c r="BD17" s="1714" t="str">
        <f t="shared" si="17"/>
        <v/>
      </c>
      <c r="BE17" s="1709" t="str">
        <f t="shared" si="18"/>
        <v/>
      </c>
      <c r="BF17" s="1752" t="str">
        <f t="shared" si="19"/>
        <v/>
      </c>
      <c r="BG17" s="1753" t="str">
        <f t="shared" si="20"/>
        <v/>
      </c>
      <c r="BH17" s="1416"/>
      <c r="BJ17" s="995" t="str">
        <f t="shared" si="59"/>
        <v>G20</v>
      </c>
      <c r="BK17" s="993" t="b">
        <f t="shared" si="21"/>
        <v>0</v>
      </c>
      <c r="BL17" s="1800" t="b">
        <v>0</v>
      </c>
      <c r="BM17" s="989">
        <f t="shared" si="22"/>
        <v>52</v>
      </c>
      <c r="BN17" s="989" t="str">
        <f t="shared" si="23"/>
        <v>VG</v>
      </c>
      <c r="BO17" s="989">
        <f t="shared" si="24"/>
        <v>9</v>
      </c>
      <c r="BP17" s="989" t="str">
        <f t="shared" si="25"/>
        <v>18.3/10.8</v>
      </c>
      <c r="BQ17" s="989">
        <f t="shared" si="26"/>
        <v>0</v>
      </c>
      <c r="BR17" s="989" t="b">
        <f t="shared" si="27"/>
        <v>1</v>
      </c>
      <c r="BS17" s="1302">
        <f t="shared" si="28"/>
        <v>7.75</v>
      </c>
      <c r="BT17" s="990" t="str">
        <f t="shared" si="29"/>
        <v>Yes</v>
      </c>
      <c r="BU17" s="1302">
        <f t="shared" si="30"/>
        <v>6</v>
      </c>
      <c r="BV17" s="990" t="str">
        <f t="shared" si="31"/>
        <v>Yes</v>
      </c>
      <c r="BW17" s="991">
        <f t="shared" si="32"/>
        <v>14</v>
      </c>
      <c r="BX17" s="991" t="str">
        <f t="shared" si="33"/>
        <v>G20</v>
      </c>
      <c r="BY17" s="991" t="b">
        <f t="shared" si="34"/>
        <v>0</v>
      </c>
      <c r="BZ17" s="991" t="b">
        <f t="shared" si="52"/>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35"/>
        <v/>
      </c>
      <c r="EN17" s="1428" t="str">
        <f t="shared" si="36"/>
        <v/>
      </c>
      <c r="EO17" s="1429" t="str">
        <f t="shared" si="37"/>
        <v/>
      </c>
      <c r="EP17" s="1430" t="str">
        <f t="shared" si="38"/>
        <v/>
      </c>
      <c r="EQ17" s="1434" t="str">
        <f t="shared" si="39"/>
        <v/>
      </c>
      <c r="ER17" s="1440" t="str">
        <f t="shared" si="40"/>
        <v/>
      </c>
      <c r="ES17" s="1441" t="str">
        <f t="shared" si="41"/>
        <v/>
      </c>
      <c r="ET17" s="1442" t="str">
        <f t="shared" si="42"/>
        <v/>
      </c>
      <c r="EU17" s="1443" t="str">
        <f t="shared" si="53"/>
        <v/>
      </c>
      <c r="EX17" s="503" t="str">
        <f t="shared" si="54"/>
        <v>G20B</v>
      </c>
      <c r="EY17" s="940" t="b">
        <f t="shared" ca="1" si="43"/>
        <v>1</v>
      </c>
      <c r="EZ17" s="940">
        <f t="shared" si="55"/>
        <v>5</v>
      </c>
      <c r="FA17" s="958" t="b">
        <f t="shared" si="60"/>
        <v>1</v>
      </c>
      <c r="FB17" s="134">
        <f t="shared" si="56"/>
        <v>669.125</v>
      </c>
      <c r="FC17" s="134">
        <f t="shared" si="44"/>
        <v>72.375</v>
      </c>
      <c r="FD17" s="134">
        <f t="shared" si="45"/>
        <v>523.25</v>
      </c>
      <c r="FE17" s="134">
        <f t="shared" si="46"/>
        <v>73.5</v>
      </c>
      <c r="FF17" s="134">
        <f t="shared" si="57"/>
        <v>669.125</v>
      </c>
      <c r="FN17" s="754" t="b">
        <v>0</v>
      </c>
      <c r="FO17" s="754" t="b">
        <f t="shared" si="47"/>
        <v>1</v>
      </c>
      <c r="FP17" s="754" t="b">
        <v>0</v>
      </c>
      <c r="FQ17" s="754" t="b">
        <f t="shared" si="58"/>
        <v>1</v>
      </c>
      <c r="FW17" s="2"/>
      <c r="FX17" s="2"/>
      <c r="FZ17" s="2"/>
      <c r="GA17" s="1761">
        <v>56</v>
      </c>
      <c r="GB17" s="1762">
        <v>0</v>
      </c>
      <c r="GC17" s="1763">
        <v>-0.25</v>
      </c>
      <c r="GD17" s="1764">
        <v>-0.875</v>
      </c>
      <c r="GE17" s="1765">
        <f t="shared" si="48"/>
        <v>0</v>
      </c>
      <c r="GF17" s="582" t="str">
        <f t="shared" si="49"/>
        <v>G20</v>
      </c>
      <c r="GG17" s="692">
        <v>0</v>
      </c>
      <c r="GH17" s="1135">
        <v>0</v>
      </c>
      <c r="GI17" s="692"/>
      <c r="GJ17" s="1135"/>
      <c r="GK17" s="1640">
        <f t="shared" si="50"/>
        <v>670.875</v>
      </c>
      <c r="GL17" s="1640">
        <f t="shared" si="51"/>
        <v>670.875</v>
      </c>
      <c r="GM17" s="1641">
        <f>IF(ABS(GK17-GL17)&gt;='Job Info.'!$L$22,ABS(GK17-GL17),0)</f>
        <v>0</v>
      </c>
      <c r="HA17" s="1241" t="s">
        <v>1420</v>
      </c>
      <c r="HB17" s="1242">
        <v>2</v>
      </c>
      <c r="HC17" s="1242" t="s">
        <v>1587</v>
      </c>
      <c r="HD17" s="1243">
        <v>55</v>
      </c>
      <c r="HE17" s="1244">
        <v>10.875</v>
      </c>
      <c r="HF17" s="1242">
        <v>11.125</v>
      </c>
      <c r="HG17" s="1242">
        <v>0</v>
      </c>
      <c r="HH17" s="1242">
        <v>1.75</v>
      </c>
      <c r="HI17" s="1242" t="s">
        <v>113</v>
      </c>
      <c r="HJ17" s="1242" t="s">
        <v>116</v>
      </c>
      <c r="HK17" s="1242" t="s">
        <v>116</v>
      </c>
      <c r="HL17" s="1242" t="s">
        <v>116</v>
      </c>
      <c r="HM17" s="1242">
        <v>7.5</v>
      </c>
      <c r="HN17" s="1242">
        <v>10</v>
      </c>
      <c r="HO17" s="1242">
        <v>0</v>
      </c>
      <c r="HP17" s="1242">
        <v>6.75</v>
      </c>
      <c r="HQ17" s="1242">
        <v>0</v>
      </c>
      <c r="HR17" s="1242">
        <v>6.125</v>
      </c>
      <c r="HS17" s="1242">
        <v>0</v>
      </c>
      <c r="HT17" s="1242">
        <v>6.25</v>
      </c>
      <c r="HU17" s="1242">
        <v>0</v>
      </c>
      <c r="HV17" s="1242">
        <v>2.125</v>
      </c>
      <c r="HW17" s="1242">
        <v>5</v>
      </c>
      <c r="HX17" s="1242" t="s">
        <v>116</v>
      </c>
      <c r="HY17" s="1246" t="s">
        <v>116</v>
      </c>
      <c r="HZ17" s="1246" t="s">
        <v>1635</v>
      </c>
      <c r="IA17" s="1246" t="s">
        <v>116</v>
      </c>
      <c r="IB17" s="1246"/>
      <c r="IC17" s="1246"/>
      <c r="ID17" s="1261"/>
      <c r="IE17" s="1241" t="s">
        <v>1420</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61"/>
        <v>1</v>
      </c>
    </row>
    <row r="18" spans="1:272" ht="12.6" customHeight="1" x14ac:dyDescent="0.25">
      <c r="A18" s="1448" t="s">
        <v>1421</v>
      </c>
      <c r="B18" s="1681">
        <v>1</v>
      </c>
      <c r="C18" s="1449" t="s">
        <v>1793</v>
      </c>
      <c r="D18" s="1705">
        <v>55</v>
      </c>
      <c r="E18" s="1706">
        <v>8.75</v>
      </c>
      <c r="F18" s="1707">
        <v>11.125</v>
      </c>
      <c r="G18" s="1708">
        <v>0</v>
      </c>
      <c r="H18" s="1709">
        <v>1.75</v>
      </c>
      <c r="I18" s="1710" t="s">
        <v>113</v>
      </c>
      <c r="J18" s="1705">
        <v>0</v>
      </c>
      <c r="K18" s="1709">
        <v>5</v>
      </c>
      <c r="L18" s="1711" t="s">
        <v>113</v>
      </c>
      <c r="M18" s="1712">
        <v>7.5</v>
      </c>
      <c r="N18" s="1713">
        <v>10</v>
      </c>
      <c r="O18" s="1708">
        <v>0</v>
      </c>
      <c r="P18" s="1709">
        <v>6.75</v>
      </c>
      <c r="Q18" s="1705">
        <v>0</v>
      </c>
      <c r="R18" s="1706">
        <v>4</v>
      </c>
      <c r="S18" s="1714">
        <v>0</v>
      </c>
      <c r="T18" s="1709">
        <v>6.25</v>
      </c>
      <c r="U18" s="1705">
        <v>0</v>
      </c>
      <c r="V18" s="1709">
        <v>4.625</v>
      </c>
      <c r="W18" s="1713">
        <v>5</v>
      </c>
      <c r="X18" s="1715" t="str">
        <f t="shared" si="0"/>
        <v/>
      </c>
      <c r="Y18" s="1716" t="str">
        <f t="shared" si="1"/>
        <v/>
      </c>
      <c r="Z18" s="2665" t="s">
        <v>1798</v>
      </c>
      <c r="AA18" s="1776" t="str">
        <f t="shared" si="2"/>
        <v/>
      </c>
      <c r="AB18" s="1448" t="s">
        <v>1421</v>
      </c>
      <c r="AC18" s="1710" t="s">
        <v>35</v>
      </c>
      <c r="AD18" s="1705">
        <v>6</v>
      </c>
      <c r="AE18" s="1709">
        <v>0.375</v>
      </c>
      <c r="AF18" s="1710">
        <v>7</v>
      </c>
      <c r="AG18" s="1705">
        <v>6</v>
      </c>
      <c r="AH18" s="1709">
        <v>2.75</v>
      </c>
      <c r="AI18" s="1705">
        <v>5</v>
      </c>
      <c r="AJ18" s="1709">
        <v>6.375</v>
      </c>
      <c r="AK18" s="1747" t="str">
        <f t="shared" si="3"/>
        <v/>
      </c>
      <c r="AL18" s="1748" t="s">
        <v>35</v>
      </c>
      <c r="AM18" s="1749">
        <v>5</v>
      </c>
      <c r="AN18" s="1710">
        <v>13</v>
      </c>
      <c r="AO18" s="1713">
        <v>4</v>
      </c>
      <c r="AP18" s="1712">
        <v>1.75</v>
      </c>
      <c r="AQ18" s="1751" t="str">
        <f t="shared" si="4"/>
        <v/>
      </c>
      <c r="AR18" s="1708">
        <v>54</v>
      </c>
      <c r="AS18" s="1709">
        <v>8</v>
      </c>
      <c r="AT18" s="1752">
        <v>18.3</v>
      </c>
      <c r="AU18" s="1753" t="s">
        <v>35</v>
      </c>
      <c r="AV18" s="1714" t="str">
        <f t="shared" si="9"/>
        <v/>
      </c>
      <c r="AW18" s="1709" t="str">
        <f t="shared" si="10"/>
        <v/>
      </c>
      <c r="AX18" s="1752" t="str">
        <f t="shared" si="11"/>
        <v/>
      </c>
      <c r="AY18" s="1753" t="str">
        <f t="shared" si="12"/>
        <v/>
      </c>
      <c r="AZ18" s="1714" t="str">
        <f t="shared" si="13"/>
        <v/>
      </c>
      <c r="BA18" s="1709" t="str">
        <f t="shared" si="14"/>
        <v/>
      </c>
      <c r="BB18" s="1752" t="str">
        <f t="shared" si="15"/>
        <v/>
      </c>
      <c r="BC18" s="1753" t="str">
        <f t="shared" si="16"/>
        <v/>
      </c>
      <c r="BD18" s="1714" t="str">
        <f t="shared" si="17"/>
        <v/>
      </c>
      <c r="BE18" s="1709" t="str">
        <f t="shared" si="18"/>
        <v/>
      </c>
      <c r="BF18" s="1752" t="str">
        <f t="shared" si="19"/>
        <v/>
      </c>
      <c r="BG18" s="1753" t="str">
        <f t="shared" si="20"/>
        <v/>
      </c>
      <c r="BH18" s="1416"/>
      <c r="BJ18" s="995" t="str">
        <f t="shared" si="59"/>
        <v>G21</v>
      </c>
      <c r="BK18" s="993" t="b">
        <f t="shared" si="21"/>
        <v>0</v>
      </c>
      <c r="BL18" s="1800" t="b">
        <v>0</v>
      </c>
      <c r="BM18" s="989">
        <f t="shared" si="22"/>
        <v>52</v>
      </c>
      <c r="BN18" s="989" t="str">
        <f t="shared" si="23"/>
        <v>VG</v>
      </c>
      <c r="BO18" s="989">
        <f t="shared" si="24"/>
        <v>9</v>
      </c>
      <c r="BP18" s="989" t="str">
        <f t="shared" si="25"/>
        <v>18.3/10.8</v>
      </c>
      <c r="BQ18" s="989">
        <f t="shared" si="26"/>
        <v>0</v>
      </c>
      <c r="BR18" s="989" t="b">
        <f t="shared" si="27"/>
        <v>1</v>
      </c>
      <c r="BS18" s="1302">
        <f t="shared" si="28"/>
        <v>7.75</v>
      </c>
      <c r="BT18" s="990" t="str">
        <f t="shared" si="29"/>
        <v>Yes</v>
      </c>
      <c r="BU18" s="1302">
        <f t="shared" si="30"/>
        <v>11</v>
      </c>
      <c r="BV18" s="990" t="str">
        <f t="shared" si="31"/>
        <v>Yes</v>
      </c>
      <c r="BW18" s="991">
        <f t="shared" si="32"/>
        <v>18</v>
      </c>
      <c r="BX18" s="991" t="str">
        <f t="shared" si="33"/>
        <v>G21</v>
      </c>
      <c r="BY18" s="991" t="b">
        <f t="shared" si="34"/>
        <v>0</v>
      </c>
      <c r="BZ18" s="991" t="b">
        <f t="shared" si="52"/>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35"/>
        <v/>
      </c>
      <c r="EN18" s="1428" t="str">
        <f t="shared" si="36"/>
        <v/>
      </c>
      <c r="EO18" s="1429" t="str">
        <f t="shared" si="37"/>
        <v/>
      </c>
      <c r="EP18" s="1430" t="str">
        <f t="shared" si="38"/>
        <v/>
      </c>
      <c r="EQ18" s="1434" t="str">
        <f t="shared" si="39"/>
        <v/>
      </c>
      <c r="ER18" s="1440" t="str">
        <f t="shared" si="40"/>
        <v/>
      </c>
      <c r="ES18" s="1441" t="str">
        <f t="shared" si="41"/>
        <v/>
      </c>
      <c r="ET18" s="1442" t="str">
        <f t="shared" si="42"/>
        <v/>
      </c>
      <c r="EU18" s="1443" t="str">
        <f t="shared" si="53"/>
        <v/>
      </c>
      <c r="EX18" s="503" t="str">
        <f t="shared" si="54"/>
        <v>G21B</v>
      </c>
      <c r="EY18" s="940" t="b">
        <f t="shared" ca="1" si="43"/>
        <v>1</v>
      </c>
      <c r="EZ18" s="940">
        <f t="shared" si="55"/>
        <v>5</v>
      </c>
      <c r="FA18" s="958" t="b">
        <f t="shared" si="60"/>
        <v>1</v>
      </c>
      <c r="FB18" s="134">
        <f t="shared" si="56"/>
        <v>662</v>
      </c>
      <c r="FC18" s="134">
        <f t="shared" si="44"/>
        <v>72.375</v>
      </c>
      <c r="FD18" s="134">
        <f t="shared" si="45"/>
        <v>523.25</v>
      </c>
      <c r="FE18" s="134">
        <f t="shared" si="46"/>
        <v>66.375</v>
      </c>
      <c r="FF18" s="134">
        <f t="shared" si="57"/>
        <v>662</v>
      </c>
      <c r="FN18" s="754" t="b">
        <v>0</v>
      </c>
      <c r="FO18" s="754" t="b">
        <f t="shared" si="47"/>
        <v>1</v>
      </c>
      <c r="FP18" s="754" t="b">
        <v>0</v>
      </c>
      <c r="FQ18" s="754" t="b">
        <f t="shared" si="58"/>
        <v>1</v>
      </c>
      <c r="FW18" s="2"/>
      <c r="FX18" s="2"/>
      <c r="FZ18" s="2"/>
      <c r="GA18" s="1761">
        <v>56</v>
      </c>
      <c r="GB18" s="1762">
        <v>0</v>
      </c>
      <c r="GC18" s="1763">
        <v>-0.25</v>
      </c>
      <c r="GD18" s="1764">
        <v>-3</v>
      </c>
      <c r="GE18" s="1765">
        <f t="shared" si="48"/>
        <v>0</v>
      </c>
      <c r="GF18" s="582" t="str">
        <f t="shared" si="49"/>
        <v>G21</v>
      </c>
      <c r="GG18" s="692">
        <v>0</v>
      </c>
      <c r="GH18" s="1135">
        <v>0</v>
      </c>
      <c r="GI18" s="692"/>
      <c r="GJ18" s="1135"/>
      <c r="GK18" s="1640">
        <f t="shared" si="50"/>
        <v>668.75</v>
      </c>
      <c r="GL18" s="1640">
        <f t="shared" si="51"/>
        <v>668.75</v>
      </c>
      <c r="GM18" s="1641">
        <f>IF(ABS(GK18-GL18)&gt;='Job Info.'!$L$22,ABS(GK18-GL18),0)</f>
        <v>0</v>
      </c>
      <c r="HA18" s="1241" t="s">
        <v>1421</v>
      </c>
      <c r="HB18" s="1242">
        <v>1</v>
      </c>
      <c r="HC18" s="1242" t="s">
        <v>1587</v>
      </c>
      <c r="HD18" s="1243">
        <v>55</v>
      </c>
      <c r="HE18" s="1244">
        <v>8.75</v>
      </c>
      <c r="HF18" s="1242">
        <v>11.125</v>
      </c>
      <c r="HG18" s="1242">
        <v>0</v>
      </c>
      <c r="HH18" s="1242">
        <v>1.75</v>
      </c>
      <c r="HI18" s="1242" t="s">
        <v>113</v>
      </c>
      <c r="HJ18" s="1242">
        <v>0</v>
      </c>
      <c r="HK18" s="1242">
        <v>5</v>
      </c>
      <c r="HL18" s="1242" t="s">
        <v>113</v>
      </c>
      <c r="HM18" s="1242">
        <v>7.5</v>
      </c>
      <c r="HN18" s="1242">
        <v>10</v>
      </c>
      <c r="HO18" s="1242">
        <v>0</v>
      </c>
      <c r="HP18" s="1242">
        <v>6.75</v>
      </c>
      <c r="HQ18" s="1242">
        <v>0</v>
      </c>
      <c r="HR18" s="1242">
        <v>4</v>
      </c>
      <c r="HS18" s="1242">
        <v>0</v>
      </c>
      <c r="HT18" s="1242">
        <v>6.25</v>
      </c>
      <c r="HU18" s="1242">
        <v>0</v>
      </c>
      <c r="HV18" s="1242">
        <v>4.625</v>
      </c>
      <c r="HW18" s="1242">
        <v>5</v>
      </c>
      <c r="HX18" s="1242" t="s">
        <v>116</v>
      </c>
      <c r="HY18" s="1246" t="s">
        <v>116</v>
      </c>
      <c r="HZ18" s="1246" t="s">
        <v>1636</v>
      </c>
      <c r="IA18" s="1246" t="s">
        <v>116</v>
      </c>
      <c r="IB18" s="1246"/>
      <c r="IC18" s="1246"/>
      <c r="ID18" s="1261"/>
      <c r="IE18" s="1241" t="s">
        <v>1421</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18.3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61"/>
        <v>1</v>
      </c>
    </row>
    <row r="19" spans="1:272" ht="12.6" customHeight="1" x14ac:dyDescent="0.25">
      <c r="A19" s="1448" t="s">
        <v>1422</v>
      </c>
      <c r="B19" s="1681">
        <v>1</v>
      </c>
      <c r="C19" s="1449" t="s">
        <v>1778</v>
      </c>
      <c r="D19" s="1705">
        <v>55</v>
      </c>
      <c r="E19" s="1706">
        <v>11.5</v>
      </c>
      <c r="F19" s="1707">
        <v>11.125</v>
      </c>
      <c r="G19" s="1708">
        <v>0</v>
      </c>
      <c r="H19" s="1709">
        <v>1.75</v>
      </c>
      <c r="I19" s="1710" t="s">
        <v>113</v>
      </c>
      <c r="J19" s="1705">
        <v>0</v>
      </c>
      <c r="K19" s="1709">
        <v>1.75</v>
      </c>
      <c r="L19" s="1711" t="s">
        <v>113</v>
      </c>
      <c r="M19" s="1712">
        <v>7.5</v>
      </c>
      <c r="N19" s="1713">
        <v>7.5</v>
      </c>
      <c r="O19" s="1708">
        <v>0</v>
      </c>
      <c r="P19" s="1709">
        <v>6.75</v>
      </c>
      <c r="Q19" s="1705">
        <v>0</v>
      </c>
      <c r="R19" s="1706">
        <v>6.75</v>
      </c>
      <c r="S19" s="1714">
        <v>0</v>
      </c>
      <c r="T19" s="1709">
        <v>6.25</v>
      </c>
      <c r="U19" s="1705">
        <v>0</v>
      </c>
      <c r="V19" s="1709">
        <v>6.25</v>
      </c>
      <c r="W19" s="1713">
        <v>5</v>
      </c>
      <c r="X19" s="1715" t="str">
        <f t="shared" si="0"/>
        <v/>
      </c>
      <c r="Y19" s="1716" t="str">
        <f t="shared" si="1"/>
        <v/>
      </c>
      <c r="Z19" s="1717" t="s">
        <v>1799</v>
      </c>
      <c r="AA19" s="1776" t="str">
        <f t="shared" si="2"/>
        <v/>
      </c>
      <c r="AB19" s="1448" t="s">
        <v>1422</v>
      </c>
      <c r="AC19" s="1710" t="s">
        <v>35</v>
      </c>
      <c r="AD19" s="1705">
        <v>6</v>
      </c>
      <c r="AE19" s="1709">
        <v>0.375</v>
      </c>
      <c r="AF19" s="1710">
        <v>7</v>
      </c>
      <c r="AG19" s="1705">
        <v>6</v>
      </c>
      <c r="AH19" s="1709">
        <v>2.75</v>
      </c>
      <c r="AI19" s="1705">
        <v>6</v>
      </c>
      <c r="AJ19" s="1709">
        <v>0.375</v>
      </c>
      <c r="AK19" s="1747" t="str">
        <f t="shared" si="3"/>
        <v/>
      </c>
      <c r="AL19" s="1748" t="s">
        <v>35</v>
      </c>
      <c r="AM19" s="1749">
        <v>5</v>
      </c>
      <c r="AN19" s="1710">
        <v>13</v>
      </c>
      <c r="AO19" s="1713">
        <v>4</v>
      </c>
      <c r="AP19" s="1712">
        <v>1.75</v>
      </c>
      <c r="AQ19" s="1751">
        <v>1.75</v>
      </c>
      <c r="AR19" s="1708" t="str">
        <f t="shared" si="5"/>
        <v/>
      </c>
      <c r="AS19" s="1709" t="str">
        <f t="shared" si="6"/>
        <v/>
      </c>
      <c r="AT19" s="1752" t="str">
        <f t="shared" si="7"/>
        <v/>
      </c>
      <c r="AU19" s="1753" t="str">
        <f t="shared" si="8"/>
        <v/>
      </c>
      <c r="AV19" s="1714" t="str">
        <f t="shared" si="9"/>
        <v/>
      </c>
      <c r="AW19" s="1709" t="str">
        <f t="shared" si="10"/>
        <v/>
      </c>
      <c r="AX19" s="1752" t="str">
        <f t="shared" si="11"/>
        <v/>
      </c>
      <c r="AY19" s="1753" t="str">
        <f t="shared" si="12"/>
        <v/>
      </c>
      <c r="AZ19" s="1714" t="str">
        <f t="shared" si="13"/>
        <v/>
      </c>
      <c r="BA19" s="1709" t="str">
        <f t="shared" si="14"/>
        <v/>
      </c>
      <c r="BB19" s="1752" t="str">
        <f t="shared" si="15"/>
        <v/>
      </c>
      <c r="BC19" s="1753" t="str">
        <f t="shared" si="16"/>
        <v/>
      </c>
      <c r="BD19" s="1714" t="str">
        <f t="shared" si="17"/>
        <v/>
      </c>
      <c r="BE19" s="1709" t="str">
        <f t="shared" si="18"/>
        <v/>
      </c>
      <c r="BF19" s="1752" t="str">
        <f t="shared" si="19"/>
        <v/>
      </c>
      <c r="BG19" s="1753" t="str">
        <f t="shared" si="20"/>
        <v/>
      </c>
      <c r="BH19" s="1416"/>
      <c r="BJ19" s="995" t="str">
        <f t="shared" si="59"/>
        <v>G22</v>
      </c>
      <c r="BK19" s="993" t="b">
        <f t="shared" si="21"/>
        <v>0</v>
      </c>
      <c r="BL19" s="1800" t="b">
        <v>0</v>
      </c>
      <c r="BM19" s="989">
        <f t="shared" si="22"/>
        <v>48</v>
      </c>
      <c r="BN19" s="989" t="str">
        <f t="shared" si="23"/>
        <v>VG</v>
      </c>
      <c r="BO19" s="989">
        <f t="shared" si="24"/>
        <v>9</v>
      </c>
      <c r="BP19" s="989" t="str">
        <f t="shared" si="25"/>
        <v>16.3/9.7</v>
      </c>
      <c r="BQ19" s="989">
        <f t="shared" si="26"/>
        <v>0</v>
      </c>
      <c r="BR19" s="989" t="b">
        <f t="shared" si="27"/>
        <v>1</v>
      </c>
      <c r="BS19" s="1302">
        <f t="shared" si="28"/>
        <v>7.75</v>
      </c>
      <c r="BT19" s="990" t="str">
        <f t="shared" si="29"/>
        <v>Yes</v>
      </c>
      <c r="BU19" s="1302">
        <f t="shared" si="30"/>
        <v>7.75</v>
      </c>
      <c r="BV19" s="990" t="str">
        <f t="shared" si="31"/>
        <v>Yes</v>
      </c>
      <c r="BW19" s="991">
        <f t="shared" si="32"/>
        <v>15</v>
      </c>
      <c r="BX19" s="991" t="str">
        <f t="shared" si="33"/>
        <v>G22</v>
      </c>
      <c r="BY19" s="991" t="b">
        <f t="shared" si="34"/>
        <v>0</v>
      </c>
      <c r="BZ19" s="991" t="b">
        <f t="shared" si="52"/>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35"/>
        <v/>
      </c>
      <c r="EN19" s="1428" t="str">
        <f t="shared" si="36"/>
        <v/>
      </c>
      <c r="EO19" s="1429" t="str">
        <f t="shared" si="37"/>
        <v/>
      </c>
      <c r="EP19" s="1430" t="str">
        <f t="shared" si="38"/>
        <v/>
      </c>
      <c r="EQ19" s="1434" t="str">
        <f t="shared" si="39"/>
        <v/>
      </c>
      <c r="ER19" s="1440" t="str">
        <f t="shared" si="40"/>
        <v/>
      </c>
      <c r="ES19" s="1441" t="str">
        <f t="shared" si="41"/>
        <v/>
      </c>
      <c r="ET19" s="1442" t="str">
        <f t="shared" si="42"/>
        <v/>
      </c>
      <c r="EU19" s="1443" t="str">
        <f t="shared" si="53"/>
        <v/>
      </c>
      <c r="EX19" s="503" t="str">
        <f t="shared" si="54"/>
        <v>G22B</v>
      </c>
      <c r="EY19" s="940" t="b">
        <f t="shared" ca="1" si="43"/>
        <v>1</v>
      </c>
      <c r="EZ19" s="940">
        <f t="shared" si="55"/>
        <v>5</v>
      </c>
      <c r="FA19" s="958" t="b">
        <f t="shared" si="60"/>
        <v>1</v>
      </c>
      <c r="FB19" s="134">
        <f t="shared" si="56"/>
        <v>668</v>
      </c>
      <c r="FC19" s="134">
        <f t="shared" si="44"/>
        <v>72.375</v>
      </c>
      <c r="FD19" s="134">
        <f t="shared" si="45"/>
        <v>523.25</v>
      </c>
      <c r="FE19" s="134">
        <f t="shared" si="46"/>
        <v>72.375</v>
      </c>
      <c r="FF19" s="134">
        <f t="shared" si="57"/>
        <v>668</v>
      </c>
      <c r="FN19" s="754" t="b">
        <v>0</v>
      </c>
      <c r="FO19" s="754" t="b">
        <f t="shared" si="47"/>
        <v>1</v>
      </c>
      <c r="FP19" s="754" t="b">
        <v>0</v>
      </c>
      <c r="FQ19" s="754" t="b">
        <f t="shared" si="58"/>
        <v>1</v>
      </c>
      <c r="FW19" s="2"/>
      <c r="FX19" s="2"/>
      <c r="FZ19" s="2"/>
      <c r="GA19" s="1761">
        <v>56</v>
      </c>
      <c r="GB19" s="1762">
        <v>0</v>
      </c>
      <c r="GC19" s="1763">
        <v>-0.25</v>
      </c>
      <c r="GD19" s="1764">
        <v>-0.25</v>
      </c>
      <c r="GE19" s="1765">
        <f t="shared" si="48"/>
        <v>0</v>
      </c>
      <c r="GF19" s="582" t="str">
        <f t="shared" si="49"/>
        <v>G22</v>
      </c>
      <c r="GG19" s="692">
        <v>0</v>
      </c>
      <c r="GH19" s="1135">
        <v>0</v>
      </c>
      <c r="GI19" s="692"/>
      <c r="GJ19" s="1135"/>
      <c r="GK19" s="1640">
        <f t="shared" si="50"/>
        <v>671.5</v>
      </c>
      <c r="GL19" s="1640">
        <f t="shared" si="51"/>
        <v>671.5</v>
      </c>
      <c r="GM19" s="1641">
        <f>IF(ABS(GK19-GL19)&gt;='Job Info.'!$L$22,ABS(GK19-GL19),0)</f>
        <v>0</v>
      </c>
      <c r="HA19" s="1241" t="s">
        <v>1422</v>
      </c>
      <c r="HB19" s="1242">
        <v>1</v>
      </c>
      <c r="HC19" s="1242" t="s">
        <v>1577</v>
      </c>
      <c r="HD19" s="1243">
        <v>55</v>
      </c>
      <c r="HE19" s="1244">
        <v>11.5</v>
      </c>
      <c r="HF19" s="1242">
        <v>11.125</v>
      </c>
      <c r="HG19" s="1242">
        <v>0</v>
      </c>
      <c r="HH19" s="1242">
        <v>1.75</v>
      </c>
      <c r="HI19" s="1242" t="s">
        <v>113</v>
      </c>
      <c r="HJ19" s="1242">
        <v>0</v>
      </c>
      <c r="HK19" s="1242">
        <v>1.75</v>
      </c>
      <c r="HL19" s="1242" t="s">
        <v>113</v>
      </c>
      <c r="HM19" s="1242">
        <v>7.5</v>
      </c>
      <c r="HN19" s="1242">
        <v>7.5</v>
      </c>
      <c r="HO19" s="1242">
        <v>0</v>
      </c>
      <c r="HP19" s="1242">
        <v>6.75</v>
      </c>
      <c r="HQ19" s="1242">
        <v>0</v>
      </c>
      <c r="HR19" s="1242">
        <v>6.75</v>
      </c>
      <c r="HS19" s="1242">
        <v>0</v>
      </c>
      <c r="HT19" s="1242">
        <v>6.25</v>
      </c>
      <c r="HU19" s="1242">
        <v>0</v>
      </c>
      <c r="HV19" s="1242">
        <v>6.25</v>
      </c>
      <c r="HW19" s="1242">
        <v>5</v>
      </c>
      <c r="HX19" s="1242" t="s">
        <v>116</v>
      </c>
      <c r="HY19" s="1246" t="s">
        <v>116</v>
      </c>
      <c r="HZ19" s="1246" t="s">
        <v>1637</v>
      </c>
      <c r="IA19" s="1246" t="s">
        <v>116</v>
      </c>
      <c r="IB19" s="1246"/>
      <c r="IC19" s="1246"/>
      <c r="ID19" s="1261"/>
      <c r="IE19" s="1241" t="s">
        <v>1422</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116</v>
      </c>
      <c r="IV19" s="1242" t="s">
        <v>116</v>
      </c>
      <c r="IW19" s="1243" t="s">
        <v>116</v>
      </c>
      <c r="IX19" s="1244" t="s">
        <v>116</v>
      </c>
      <c r="IY19" s="1242" t="s">
        <v>116</v>
      </c>
      <c r="IZ19" s="1242" t="s">
        <v>116</v>
      </c>
      <c r="JA19" s="1243" t="s">
        <v>116</v>
      </c>
      <c r="JB19" s="1244" t="s">
        <v>116</v>
      </c>
      <c r="JC19" s="1242" t="s">
        <v>116</v>
      </c>
      <c r="JD19" s="1242" t="s">
        <v>116</v>
      </c>
      <c r="JE19" s="1243" t="s">
        <v>116</v>
      </c>
      <c r="JF19" s="1244" t="s">
        <v>116</v>
      </c>
      <c r="JG19" s="1242" t="s">
        <v>116</v>
      </c>
      <c r="JH19" s="1242" t="s">
        <v>116</v>
      </c>
      <c r="JI19" s="1242" t="s">
        <v>116</v>
      </c>
      <c r="JJ19" s="1245" t="s">
        <v>116</v>
      </c>
      <c r="JK19" s="1242">
        <v>1</v>
      </c>
      <c r="JL19" s="1171">
        <f t="shared" ca="1" si="61"/>
        <v>1</v>
      </c>
    </row>
    <row r="20" spans="1:272" ht="12.6" customHeight="1" x14ac:dyDescent="0.25">
      <c r="A20" s="1448" t="s">
        <v>1423</v>
      </c>
      <c r="B20" s="1681">
        <v>1</v>
      </c>
      <c r="C20" s="1449" t="s">
        <v>1778</v>
      </c>
      <c r="D20" s="1705">
        <v>55</v>
      </c>
      <c r="E20" s="1706">
        <v>10.875</v>
      </c>
      <c r="F20" s="1707">
        <v>11.125</v>
      </c>
      <c r="G20" s="1708">
        <v>0</v>
      </c>
      <c r="H20" s="1709">
        <v>1.75</v>
      </c>
      <c r="I20" s="1710" t="s">
        <v>113</v>
      </c>
      <c r="J20" s="1705" t="str">
        <f t="shared" si="62"/>
        <v/>
      </c>
      <c r="K20" s="1709" t="str">
        <f t="shared" si="63"/>
        <v/>
      </c>
      <c r="L20" s="1711" t="str">
        <f t="shared" si="64"/>
        <v/>
      </c>
      <c r="M20" s="1712">
        <v>7.5</v>
      </c>
      <c r="N20" s="1713">
        <v>10</v>
      </c>
      <c r="O20" s="1708">
        <v>0</v>
      </c>
      <c r="P20" s="1709">
        <v>6.75</v>
      </c>
      <c r="Q20" s="1705">
        <v>0</v>
      </c>
      <c r="R20" s="1706">
        <v>6.125</v>
      </c>
      <c r="S20" s="1714">
        <v>0</v>
      </c>
      <c r="T20" s="1709">
        <v>6.25</v>
      </c>
      <c r="U20" s="1705">
        <v>0</v>
      </c>
      <c r="V20" s="1709">
        <v>2.125</v>
      </c>
      <c r="W20" s="1713">
        <v>5</v>
      </c>
      <c r="X20" s="1715" t="str">
        <f t="shared" si="0"/>
        <v/>
      </c>
      <c r="Y20" s="1716" t="str">
        <f t="shared" si="1"/>
        <v/>
      </c>
      <c r="Z20" s="1717" t="s">
        <v>1800</v>
      </c>
      <c r="AA20" s="1776" t="str">
        <f t="shared" si="2"/>
        <v/>
      </c>
      <c r="AB20" s="1448" t="s">
        <v>1423</v>
      </c>
      <c r="AC20" s="1710" t="s">
        <v>35</v>
      </c>
      <c r="AD20" s="1705">
        <v>6</v>
      </c>
      <c r="AE20" s="1709">
        <v>0.375</v>
      </c>
      <c r="AF20" s="1710">
        <v>7</v>
      </c>
      <c r="AG20" s="1705">
        <v>6</v>
      </c>
      <c r="AH20" s="1709">
        <v>2.75</v>
      </c>
      <c r="AI20" s="1705">
        <v>6</v>
      </c>
      <c r="AJ20" s="1709">
        <v>1.5</v>
      </c>
      <c r="AK20" s="1747" t="str">
        <f t="shared" si="3"/>
        <v/>
      </c>
      <c r="AL20" s="1748" t="s">
        <v>35</v>
      </c>
      <c r="AM20" s="1749">
        <v>5</v>
      </c>
      <c r="AN20" s="1710">
        <v>13</v>
      </c>
      <c r="AO20" s="1713">
        <v>4</v>
      </c>
      <c r="AP20" s="1712">
        <v>1.75</v>
      </c>
      <c r="AQ20" s="1751" t="str">
        <f t="shared" si="4"/>
        <v/>
      </c>
      <c r="AR20" s="1708" t="str">
        <f t="shared" si="5"/>
        <v/>
      </c>
      <c r="AS20" s="1709" t="str">
        <f t="shared" si="6"/>
        <v/>
      </c>
      <c r="AT20" s="1752" t="str">
        <f t="shared" si="7"/>
        <v/>
      </c>
      <c r="AU20" s="1753" t="str">
        <f t="shared" si="8"/>
        <v/>
      </c>
      <c r="AV20" s="1714" t="str">
        <f t="shared" si="9"/>
        <v/>
      </c>
      <c r="AW20" s="1709" t="str">
        <f t="shared" si="10"/>
        <v/>
      </c>
      <c r="AX20" s="1752" t="str">
        <f t="shared" si="11"/>
        <v/>
      </c>
      <c r="AY20" s="1753" t="str">
        <f t="shared" si="12"/>
        <v/>
      </c>
      <c r="AZ20" s="1714" t="str">
        <f t="shared" si="13"/>
        <v/>
      </c>
      <c r="BA20" s="1709" t="str">
        <f t="shared" si="14"/>
        <v/>
      </c>
      <c r="BB20" s="1752" t="str">
        <f t="shared" si="15"/>
        <v/>
      </c>
      <c r="BC20" s="1753" t="str">
        <f t="shared" si="16"/>
        <v/>
      </c>
      <c r="BD20" s="1714" t="str">
        <f t="shared" si="17"/>
        <v/>
      </c>
      <c r="BE20" s="1709" t="str">
        <f t="shared" si="18"/>
        <v/>
      </c>
      <c r="BF20" s="1752" t="str">
        <f t="shared" si="19"/>
        <v/>
      </c>
      <c r="BG20" s="1753" t="str">
        <f t="shared" si="20"/>
        <v/>
      </c>
      <c r="BH20" s="1416"/>
      <c r="BJ20" s="995" t="str">
        <f t="shared" si="59"/>
        <v>G23</v>
      </c>
      <c r="BK20" s="993" t="b">
        <f t="shared" si="21"/>
        <v>0</v>
      </c>
      <c r="BL20" s="1800" t="b">
        <v>0</v>
      </c>
      <c r="BM20" s="989">
        <f t="shared" si="22"/>
        <v>48</v>
      </c>
      <c r="BN20" s="989" t="str">
        <f t="shared" si="23"/>
        <v>VG</v>
      </c>
      <c r="BO20" s="989">
        <f t="shared" si="24"/>
        <v>9</v>
      </c>
      <c r="BP20" s="989" t="str">
        <f t="shared" si="25"/>
        <v>16.3/9.7</v>
      </c>
      <c r="BQ20" s="989">
        <f t="shared" si="26"/>
        <v>0</v>
      </c>
      <c r="BR20" s="989" t="b">
        <f t="shared" si="27"/>
        <v>1</v>
      </c>
      <c r="BS20" s="1302">
        <f t="shared" si="28"/>
        <v>7.75</v>
      </c>
      <c r="BT20" s="990" t="str">
        <f t="shared" si="29"/>
        <v>Yes</v>
      </c>
      <c r="BU20" s="1302">
        <f t="shared" si="30"/>
        <v>6</v>
      </c>
      <c r="BV20" s="990" t="str">
        <f t="shared" si="31"/>
        <v>Yes</v>
      </c>
      <c r="BW20" s="991">
        <f t="shared" si="32"/>
        <v>14</v>
      </c>
      <c r="BX20" s="991" t="str">
        <f t="shared" si="33"/>
        <v>G23</v>
      </c>
      <c r="BY20" s="991" t="b">
        <f t="shared" si="34"/>
        <v>0</v>
      </c>
      <c r="BZ20" s="991" t="b">
        <f t="shared" si="52"/>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35"/>
        <v/>
      </c>
      <c r="EN20" s="1428" t="str">
        <f t="shared" si="36"/>
        <v/>
      </c>
      <c r="EO20" s="1429" t="str">
        <f t="shared" si="37"/>
        <v/>
      </c>
      <c r="EP20" s="1430" t="str">
        <f t="shared" si="38"/>
        <v/>
      </c>
      <c r="EQ20" s="1434" t="str">
        <f t="shared" si="39"/>
        <v/>
      </c>
      <c r="ER20" s="1440" t="str">
        <f t="shared" si="40"/>
        <v/>
      </c>
      <c r="ES20" s="1441" t="str">
        <f t="shared" si="41"/>
        <v/>
      </c>
      <c r="ET20" s="1442" t="str">
        <f t="shared" si="42"/>
        <v/>
      </c>
      <c r="EU20" s="1443" t="str">
        <f t="shared" si="53"/>
        <v/>
      </c>
      <c r="EX20" s="503" t="str">
        <f t="shared" si="54"/>
        <v>G23B</v>
      </c>
      <c r="EY20" s="940" t="b">
        <f t="shared" ca="1" si="43"/>
        <v>1</v>
      </c>
      <c r="EZ20" s="940">
        <f t="shared" si="55"/>
        <v>5</v>
      </c>
      <c r="FA20" s="958" t="b">
        <f t="shared" si="60"/>
        <v>1</v>
      </c>
      <c r="FB20" s="134">
        <f t="shared" si="56"/>
        <v>669.125</v>
      </c>
      <c r="FC20" s="134">
        <f t="shared" si="44"/>
        <v>72.375</v>
      </c>
      <c r="FD20" s="134">
        <f t="shared" si="45"/>
        <v>523.25</v>
      </c>
      <c r="FE20" s="134">
        <f t="shared" si="46"/>
        <v>73.5</v>
      </c>
      <c r="FF20" s="134">
        <f t="shared" si="57"/>
        <v>669.125</v>
      </c>
      <c r="FN20" s="754" t="b">
        <v>0</v>
      </c>
      <c r="FO20" s="754" t="b">
        <f t="shared" si="47"/>
        <v>1</v>
      </c>
      <c r="FP20" s="754" t="b">
        <v>0</v>
      </c>
      <c r="FQ20" s="754" t="b">
        <f t="shared" si="58"/>
        <v>1</v>
      </c>
      <c r="FW20" s="2"/>
      <c r="FX20" s="2"/>
      <c r="FZ20" s="2"/>
      <c r="GA20" s="1761">
        <v>56</v>
      </c>
      <c r="GB20" s="1762">
        <v>0</v>
      </c>
      <c r="GC20" s="1763">
        <v>-0.25</v>
      </c>
      <c r="GD20" s="1764">
        <v>-0.875</v>
      </c>
      <c r="GE20" s="1765">
        <f t="shared" si="48"/>
        <v>0</v>
      </c>
      <c r="GF20" s="582" t="str">
        <f t="shared" si="49"/>
        <v>G23</v>
      </c>
      <c r="GG20" s="692">
        <v>0</v>
      </c>
      <c r="GH20" s="1135">
        <v>0</v>
      </c>
      <c r="GI20" s="692"/>
      <c r="GJ20" s="1135"/>
      <c r="GK20" s="1640">
        <f t="shared" si="50"/>
        <v>670.875</v>
      </c>
      <c r="GL20" s="1640">
        <f t="shared" si="51"/>
        <v>670.875</v>
      </c>
      <c r="GM20" s="1641">
        <f>IF(ABS(GK20-GL20)&gt;='Job Info.'!$L$22,ABS(GK20-GL20),0)</f>
        <v>0</v>
      </c>
      <c r="HA20" s="1241" t="s">
        <v>1423</v>
      </c>
      <c r="HB20" s="1242">
        <v>1</v>
      </c>
      <c r="HC20" s="1242" t="s">
        <v>1577</v>
      </c>
      <c r="HD20" s="1243">
        <v>55</v>
      </c>
      <c r="HE20" s="1244">
        <v>10.875</v>
      </c>
      <c r="HF20" s="1242">
        <v>11.125</v>
      </c>
      <c r="HG20" s="1242">
        <v>0</v>
      </c>
      <c r="HH20" s="1242">
        <v>1.75</v>
      </c>
      <c r="HI20" s="1242" t="s">
        <v>113</v>
      </c>
      <c r="HJ20" s="1242" t="s">
        <v>116</v>
      </c>
      <c r="HK20" s="1242" t="s">
        <v>116</v>
      </c>
      <c r="HL20" s="1242" t="s">
        <v>116</v>
      </c>
      <c r="HM20" s="1242">
        <v>7.5</v>
      </c>
      <c r="HN20" s="1242">
        <v>10</v>
      </c>
      <c r="HO20" s="1242">
        <v>0</v>
      </c>
      <c r="HP20" s="1242">
        <v>6.75</v>
      </c>
      <c r="HQ20" s="1242">
        <v>0</v>
      </c>
      <c r="HR20" s="1242">
        <v>6.125</v>
      </c>
      <c r="HS20" s="1242">
        <v>0</v>
      </c>
      <c r="HT20" s="1242">
        <v>6.25</v>
      </c>
      <c r="HU20" s="1242">
        <v>0</v>
      </c>
      <c r="HV20" s="1242">
        <v>2.125</v>
      </c>
      <c r="HW20" s="1242">
        <v>5</v>
      </c>
      <c r="HX20" s="1242" t="s">
        <v>116</v>
      </c>
      <c r="HY20" s="1246" t="s">
        <v>116</v>
      </c>
      <c r="HZ20" s="1246" t="s">
        <v>1638</v>
      </c>
      <c r="IA20" s="1246" t="s">
        <v>116</v>
      </c>
      <c r="IB20" s="1246"/>
      <c r="IC20" s="1246"/>
      <c r="ID20" s="1261"/>
      <c r="IE20" s="1241" t="s">
        <v>1423</v>
      </c>
      <c r="IF20" s="1242" t="s">
        <v>35</v>
      </c>
      <c r="IG20" s="1243">
        <v>6</v>
      </c>
      <c r="IH20" s="1244">
        <v>0.375</v>
      </c>
      <c r="II20" s="1242">
        <v>7</v>
      </c>
      <c r="IJ20" s="1243">
        <v>6</v>
      </c>
      <c r="IK20" s="1244">
        <v>2.75</v>
      </c>
      <c r="IL20" s="1242">
        <v>6</v>
      </c>
      <c r="IM20" s="1242">
        <v>1.5</v>
      </c>
      <c r="IN20" s="1242" t="s">
        <v>116</v>
      </c>
      <c r="IO20" s="1242" t="s">
        <v>35</v>
      </c>
      <c r="IP20" s="1242">
        <v>5</v>
      </c>
      <c r="IQ20" s="1242">
        <v>13</v>
      </c>
      <c r="IR20" s="1242">
        <v>4</v>
      </c>
      <c r="IS20" s="1243">
        <v>1.75</v>
      </c>
      <c r="IT20" s="1244" t="s">
        <v>116</v>
      </c>
      <c r="IU20" s="1242" t="s">
        <v>116</v>
      </c>
      <c r="IV20" s="1242" t="s">
        <v>116</v>
      </c>
      <c r="IW20" s="1243" t="s">
        <v>116</v>
      </c>
      <c r="IX20" s="1244" t="s">
        <v>116</v>
      </c>
      <c r="IY20" s="1242" t="s">
        <v>116</v>
      </c>
      <c r="IZ20" s="1242" t="s">
        <v>116</v>
      </c>
      <c r="JA20" s="1243" t="s">
        <v>116</v>
      </c>
      <c r="JB20" s="1244" t="s">
        <v>116</v>
      </c>
      <c r="JC20" s="1242" t="s">
        <v>116</v>
      </c>
      <c r="JD20" s="1242" t="s">
        <v>116</v>
      </c>
      <c r="JE20" s="1243" t="s">
        <v>116</v>
      </c>
      <c r="JF20" s="1244" t="s">
        <v>116</v>
      </c>
      <c r="JG20" s="1242" t="s">
        <v>116</v>
      </c>
      <c r="JH20" s="1242" t="s">
        <v>116</v>
      </c>
      <c r="JI20" s="1242" t="s">
        <v>116</v>
      </c>
      <c r="JJ20" s="1245" t="s">
        <v>116</v>
      </c>
      <c r="JK20" s="1242">
        <v>1</v>
      </c>
      <c r="JL20" s="1171">
        <f t="shared" ca="1" si="61"/>
        <v>1</v>
      </c>
    </row>
    <row r="21" spans="1:272" ht="12.6" customHeight="1" x14ac:dyDescent="0.25">
      <c r="A21" s="1448" t="s">
        <v>1424</v>
      </c>
      <c r="B21" s="1681">
        <v>1</v>
      </c>
      <c r="C21" s="1449" t="s">
        <v>1778</v>
      </c>
      <c r="D21" s="1705">
        <v>55</v>
      </c>
      <c r="E21" s="1706">
        <v>8.75</v>
      </c>
      <c r="F21" s="1707">
        <v>11.125</v>
      </c>
      <c r="G21" s="1708">
        <v>0</v>
      </c>
      <c r="H21" s="1709">
        <v>1.75</v>
      </c>
      <c r="I21" s="1710" t="s">
        <v>113</v>
      </c>
      <c r="J21" s="1705">
        <v>0</v>
      </c>
      <c r="K21" s="1709">
        <v>5</v>
      </c>
      <c r="L21" s="1711" t="s">
        <v>113</v>
      </c>
      <c r="M21" s="1712">
        <v>7.5</v>
      </c>
      <c r="N21" s="1713">
        <v>10</v>
      </c>
      <c r="O21" s="1708">
        <v>0</v>
      </c>
      <c r="P21" s="1709">
        <v>6.75</v>
      </c>
      <c r="Q21" s="1705">
        <v>0</v>
      </c>
      <c r="R21" s="1706">
        <v>4</v>
      </c>
      <c r="S21" s="1714">
        <v>0</v>
      </c>
      <c r="T21" s="1709">
        <v>6.25</v>
      </c>
      <c r="U21" s="1705">
        <v>0</v>
      </c>
      <c r="V21" s="1709">
        <v>4.625</v>
      </c>
      <c r="W21" s="1713">
        <v>5</v>
      </c>
      <c r="X21" s="1715" t="str">
        <f t="shared" si="0"/>
        <v/>
      </c>
      <c r="Y21" s="1716" t="str">
        <f t="shared" si="1"/>
        <v/>
      </c>
      <c r="Z21" s="2665" t="s">
        <v>1801</v>
      </c>
      <c r="AA21" s="1776" t="str">
        <f t="shared" si="2"/>
        <v/>
      </c>
      <c r="AB21" s="1448" t="s">
        <v>1424</v>
      </c>
      <c r="AC21" s="1710" t="s">
        <v>35</v>
      </c>
      <c r="AD21" s="1705">
        <v>6</v>
      </c>
      <c r="AE21" s="1709">
        <v>0.375</v>
      </c>
      <c r="AF21" s="1710">
        <v>7</v>
      </c>
      <c r="AG21" s="1705">
        <v>6</v>
      </c>
      <c r="AH21" s="1709">
        <v>2.75</v>
      </c>
      <c r="AI21" s="1705">
        <v>5</v>
      </c>
      <c r="AJ21" s="1709">
        <v>6.375</v>
      </c>
      <c r="AK21" s="1747" t="str">
        <f t="shared" si="3"/>
        <v/>
      </c>
      <c r="AL21" s="1748" t="s">
        <v>35</v>
      </c>
      <c r="AM21" s="1749">
        <v>5</v>
      </c>
      <c r="AN21" s="1710">
        <v>13</v>
      </c>
      <c r="AO21" s="1713">
        <v>4</v>
      </c>
      <c r="AP21" s="1712">
        <v>1.75</v>
      </c>
      <c r="AQ21" s="1751" t="str">
        <f t="shared" si="4"/>
        <v/>
      </c>
      <c r="AR21" s="1708">
        <v>54</v>
      </c>
      <c r="AS21" s="1709">
        <v>8</v>
      </c>
      <c r="AT21" s="1752">
        <v>16.3</v>
      </c>
      <c r="AU21" s="1753" t="s">
        <v>35</v>
      </c>
      <c r="AV21" s="1714" t="str">
        <f t="shared" si="9"/>
        <v/>
      </c>
      <c r="AW21" s="1709" t="str">
        <f t="shared" si="10"/>
        <v/>
      </c>
      <c r="AX21" s="1752" t="str">
        <f t="shared" si="11"/>
        <v/>
      </c>
      <c r="AY21" s="1753" t="str">
        <f t="shared" si="12"/>
        <v/>
      </c>
      <c r="AZ21" s="1714" t="str">
        <f t="shared" si="13"/>
        <v/>
      </c>
      <c r="BA21" s="1709" t="str">
        <f t="shared" si="14"/>
        <v/>
      </c>
      <c r="BB21" s="1752" t="str">
        <f t="shared" si="15"/>
        <v/>
      </c>
      <c r="BC21" s="1753" t="str">
        <f t="shared" si="16"/>
        <v/>
      </c>
      <c r="BD21" s="1714" t="str">
        <f t="shared" si="17"/>
        <v/>
      </c>
      <c r="BE21" s="1709" t="str">
        <f t="shared" si="18"/>
        <v/>
      </c>
      <c r="BF21" s="1752" t="str">
        <f t="shared" si="19"/>
        <v/>
      </c>
      <c r="BG21" s="1753" t="str">
        <f t="shared" si="20"/>
        <v/>
      </c>
      <c r="BH21" s="1416"/>
      <c r="BJ21" s="995" t="str">
        <f t="shared" si="59"/>
        <v>G24</v>
      </c>
      <c r="BK21" s="993" t="b">
        <f t="shared" si="21"/>
        <v>0</v>
      </c>
      <c r="BL21" s="1800" t="b">
        <v>0</v>
      </c>
      <c r="BM21" s="989">
        <f t="shared" si="22"/>
        <v>48</v>
      </c>
      <c r="BN21" s="989" t="str">
        <f t="shared" si="23"/>
        <v>VG</v>
      </c>
      <c r="BO21" s="989">
        <f t="shared" si="24"/>
        <v>9</v>
      </c>
      <c r="BP21" s="989" t="str">
        <f t="shared" si="25"/>
        <v>16.3/9.7</v>
      </c>
      <c r="BQ21" s="989">
        <f t="shared" si="26"/>
        <v>0</v>
      </c>
      <c r="BR21" s="989" t="b">
        <f t="shared" si="27"/>
        <v>1</v>
      </c>
      <c r="BS21" s="1302">
        <f t="shared" si="28"/>
        <v>7.75</v>
      </c>
      <c r="BT21" s="990" t="str">
        <f t="shared" si="29"/>
        <v>Yes</v>
      </c>
      <c r="BU21" s="1302">
        <f t="shared" si="30"/>
        <v>11</v>
      </c>
      <c r="BV21" s="990" t="str">
        <f t="shared" si="31"/>
        <v>Yes</v>
      </c>
      <c r="BW21" s="991">
        <f t="shared" si="32"/>
        <v>18</v>
      </c>
      <c r="BX21" s="991" t="str">
        <f t="shared" si="33"/>
        <v>G24</v>
      </c>
      <c r="BY21" s="991" t="b">
        <f t="shared" si="34"/>
        <v>0</v>
      </c>
      <c r="BZ21" s="991" t="b">
        <f t="shared" si="52"/>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35"/>
        <v/>
      </c>
      <c r="EN21" s="1428" t="str">
        <f t="shared" si="36"/>
        <v/>
      </c>
      <c r="EO21" s="1429" t="str">
        <f t="shared" si="37"/>
        <v/>
      </c>
      <c r="EP21" s="1430" t="str">
        <f t="shared" si="38"/>
        <v/>
      </c>
      <c r="EQ21" s="1434" t="str">
        <f t="shared" si="39"/>
        <v/>
      </c>
      <c r="ER21" s="1440" t="str">
        <f t="shared" si="40"/>
        <v/>
      </c>
      <c r="ES21" s="1441" t="str">
        <f t="shared" si="41"/>
        <v/>
      </c>
      <c r="ET21" s="1442" t="str">
        <f t="shared" si="42"/>
        <v/>
      </c>
      <c r="EU21" s="1443" t="str">
        <f t="shared" si="53"/>
        <v/>
      </c>
      <c r="EX21" s="503" t="str">
        <f t="shared" si="54"/>
        <v>G24B</v>
      </c>
      <c r="EY21" s="940" t="b">
        <f t="shared" ca="1" si="43"/>
        <v>1</v>
      </c>
      <c r="EZ21" s="940">
        <f t="shared" si="55"/>
        <v>5</v>
      </c>
      <c r="FA21" s="958" t="b">
        <f t="shared" si="60"/>
        <v>1</v>
      </c>
      <c r="FB21" s="134">
        <f t="shared" si="56"/>
        <v>662</v>
      </c>
      <c r="FC21" s="134">
        <f t="shared" si="44"/>
        <v>72.375</v>
      </c>
      <c r="FD21" s="134">
        <f t="shared" si="45"/>
        <v>523.25</v>
      </c>
      <c r="FE21" s="134">
        <f t="shared" si="46"/>
        <v>66.375</v>
      </c>
      <c r="FF21" s="134">
        <f t="shared" si="57"/>
        <v>662</v>
      </c>
      <c r="FN21" s="754" t="b">
        <v>0</v>
      </c>
      <c r="FO21" s="754" t="b">
        <f t="shared" si="47"/>
        <v>1</v>
      </c>
      <c r="FP21" s="754" t="b">
        <v>0</v>
      </c>
      <c r="FQ21" s="754" t="b">
        <f t="shared" si="58"/>
        <v>1</v>
      </c>
      <c r="FW21" s="23"/>
      <c r="FX21" s="23"/>
      <c r="FZ21" s="23"/>
      <c r="GA21" s="1761">
        <v>56</v>
      </c>
      <c r="GB21" s="1762">
        <v>0</v>
      </c>
      <c r="GC21" s="1763">
        <v>-0.25</v>
      </c>
      <c r="GD21" s="1764">
        <v>-3</v>
      </c>
      <c r="GE21" s="1765">
        <f t="shared" si="48"/>
        <v>0</v>
      </c>
      <c r="GF21" s="582" t="str">
        <f t="shared" si="49"/>
        <v>G24</v>
      </c>
      <c r="GG21" s="692">
        <v>0</v>
      </c>
      <c r="GH21" s="1135">
        <v>0</v>
      </c>
      <c r="GI21" s="692"/>
      <c r="GJ21" s="1135"/>
      <c r="GK21" s="1640">
        <f t="shared" si="50"/>
        <v>668.75</v>
      </c>
      <c r="GL21" s="1640">
        <f t="shared" si="51"/>
        <v>668.75</v>
      </c>
      <c r="GM21" s="1641">
        <f>IF(ABS(GK21-GL21)&gt;='Job Info.'!$L$22,ABS(GK21-GL21),0)</f>
        <v>0</v>
      </c>
      <c r="HA21" s="1241" t="s">
        <v>1424</v>
      </c>
      <c r="HB21" s="1242">
        <v>1</v>
      </c>
      <c r="HC21" s="1242" t="s">
        <v>1577</v>
      </c>
      <c r="HD21" s="1243">
        <v>55</v>
      </c>
      <c r="HE21" s="1244">
        <v>8.75</v>
      </c>
      <c r="HF21" s="1242">
        <v>11.125</v>
      </c>
      <c r="HG21" s="1242">
        <v>0</v>
      </c>
      <c r="HH21" s="1242">
        <v>1.75</v>
      </c>
      <c r="HI21" s="1242" t="s">
        <v>113</v>
      </c>
      <c r="HJ21" s="1242">
        <v>0</v>
      </c>
      <c r="HK21" s="1242">
        <v>5</v>
      </c>
      <c r="HL21" s="1242" t="s">
        <v>113</v>
      </c>
      <c r="HM21" s="1242">
        <v>7.5</v>
      </c>
      <c r="HN21" s="1242">
        <v>10</v>
      </c>
      <c r="HO21" s="1242">
        <v>0</v>
      </c>
      <c r="HP21" s="1242">
        <v>6.75</v>
      </c>
      <c r="HQ21" s="1242">
        <v>0</v>
      </c>
      <c r="HR21" s="1242">
        <v>4</v>
      </c>
      <c r="HS21" s="1242">
        <v>0</v>
      </c>
      <c r="HT21" s="1242">
        <v>6.25</v>
      </c>
      <c r="HU21" s="1242">
        <v>0</v>
      </c>
      <c r="HV21" s="1242">
        <v>4.625</v>
      </c>
      <c r="HW21" s="1242">
        <v>5</v>
      </c>
      <c r="HX21" s="1242" t="s">
        <v>116</v>
      </c>
      <c r="HY21" s="1246" t="s">
        <v>116</v>
      </c>
      <c r="HZ21" s="1246" t="s">
        <v>1639</v>
      </c>
      <c r="IA21" s="1246" t="s">
        <v>116</v>
      </c>
      <c r="IB21" s="1246"/>
      <c r="IC21" s="1246"/>
      <c r="ID21" s="1261"/>
      <c r="IE21" s="1241" t="s">
        <v>1424</v>
      </c>
      <c r="IF21" s="1242" t="s">
        <v>35</v>
      </c>
      <c r="IG21" s="1243">
        <v>6</v>
      </c>
      <c r="IH21" s="1244">
        <v>0.375</v>
      </c>
      <c r="II21" s="1242">
        <v>7</v>
      </c>
      <c r="IJ21" s="1243">
        <v>6</v>
      </c>
      <c r="IK21" s="1244">
        <v>2.75</v>
      </c>
      <c r="IL21" s="1242">
        <v>5</v>
      </c>
      <c r="IM21" s="1242">
        <v>6.375</v>
      </c>
      <c r="IN21" s="1242" t="s">
        <v>116</v>
      </c>
      <c r="IO21" s="1242" t="s">
        <v>35</v>
      </c>
      <c r="IP21" s="1242">
        <v>5</v>
      </c>
      <c r="IQ21" s="1242">
        <v>13</v>
      </c>
      <c r="IR21" s="1242">
        <v>4</v>
      </c>
      <c r="IS21" s="1243">
        <v>1.75</v>
      </c>
      <c r="IT21" s="1244" t="s">
        <v>116</v>
      </c>
      <c r="IU21" s="1242">
        <v>54</v>
      </c>
      <c r="IV21" s="1242">
        <v>8</v>
      </c>
      <c r="IW21" s="1243">
        <v>16.3</v>
      </c>
      <c r="IX21" s="1244" t="s">
        <v>35</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61"/>
        <v>1</v>
      </c>
    </row>
    <row r="22" spans="1:272" ht="12.6" customHeight="1" x14ac:dyDescent="0.25">
      <c r="A22" s="1448" t="s">
        <v>1425</v>
      </c>
      <c r="B22" s="1681">
        <v>1</v>
      </c>
      <c r="C22" s="1449" t="s">
        <v>1779</v>
      </c>
      <c r="D22" s="1705">
        <v>55</v>
      </c>
      <c r="E22" s="1706">
        <v>10.875</v>
      </c>
      <c r="F22" s="1707">
        <v>11.125</v>
      </c>
      <c r="G22" s="1708">
        <v>0</v>
      </c>
      <c r="H22" s="1709">
        <v>1.75</v>
      </c>
      <c r="I22" s="1710" t="s">
        <v>113</v>
      </c>
      <c r="J22" s="1705" t="str">
        <f t="shared" si="62"/>
        <v/>
      </c>
      <c r="K22" s="1709" t="str">
        <f t="shared" si="63"/>
        <v/>
      </c>
      <c r="L22" s="1711" t="str">
        <f t="shared" si="64"/>
        <v/>
      </c>
      <c r="M22" s="1712">
        <v>7.5</v>
      </c>
      <c r="N22" s="1713">
        <v>10</v>
      </c>
      <c r="O22" s="1708">
        <v>0</v>
      </c>
      <c r="P22" s="1709">
        <v>6.75</v>
      </c>
      <c r="Q22" s="1705">
        <v>0</v>
      </c>
      <c r="R22" s="1706">
        <v>7.125</v>
      </c>
      <c r="S22" s="1714">
        <v>0</v>
      </c>
      <c r="T22" s="1709">
        <v>6.25</v>
      </c>
      <c r="U22" s="1705">
        <v>0</v>
      </c>
      <c r="V22" s="1709">
        <v>2.125</v>
      </c>
      <c r="W22" s="1713">
        <v>5</v>
      </c>
      <c r="X22" s="1715" t="str">
        <f t="shared" si="0"/>
        <v/>
      </c>
      <c r="Y22" s="1716" t="str">
        <f t="shared" si="1"/>
        <v/>
      </c>
      <c r="Z22" s="1717" t="s">
        <v>1802</v>
      </c>
      <c r="AA22" s="1776" t="str">
        <f t="shared" si="2"/>
        <v/>
      </c>
      <c r="AB22" s="1448" t="s">
        <v>1425</v>
      </c>
      <c r="AC22" s="1710" t="s">
        <v>35</v>
      </c>
      <c r="AD22" s="1705">
        <v>6</v>
      </c>
      <c r="AE22" s="1709">
        <v>0.375</v>
      </c>
      <c r="AF22" s="1710">
        <v>7</v>
      </c>
      <c r="AG22" s="1705">
        <v>6</v>
      </c>
      <c r="AH22" s="1709">
        <v>2.75</v>
      </c>
      <c r="AI22" s="1705">
        <v>6</v>
      </c>
      <c r="AJ22" s="1709">
        <v>1.5</v>
      </c>
      <c r="AK22" s="1747" t="str">
        <f t="shared" si="3"/>
        <v/>
      </c>
      <c r="AL22" s="1748" t="s">
        <v>35</v>
      </c>
      <c r="AM22" s="1749">
        <v>5</v>
      </c>
      <c r="AN22" s="1710">
        <v>13</v>
      </c>
      <c r="AO22" s="1713">
        <v>4</v>
      </c>
      <c r="AP22" s="1712">
        <v>1.75</v>
      </c>
      <c r="AQ22" s="1751" t="str">
        <f t="shared" si="4"/>
        <v/>
      </c>
      <c r="AR22" s="1708" t="str">
        <f t="shared" si="5"/>
        <v/>
      </c>
      <c r="AS22" s="1709" t="str">
        <f t="shared" si="6"/>
        <v/>
      </c>
      <c r="AT22" s="1752" t="str">
        <f t="shared" si="7"/>
        <v/>
      </c>
      <c r="AU22" s="1753" t="str">
        <f t="shared" si="8"/>
        <v/>
      </c>
      <c r="AV22" s="1714" t="str">
        <f t="shared" si="9"/>
        <v/>
      </c>
      <c r="AW22" s="1709" t="str">
        <f t="shared" si="10"/>
        <v/>
      </c>
      <c r="AX22" s="1752" t="str">
        <f t="shared" si="11"/>
        <v/>
      </c>
      <c r="AY22" s="1753" t="str">
        <f t="shared" si="12"/>
        <v/>
      </c>
      <c r="AZ22" s="1714" t="str">
        <f t="shared" si="13"/>
        <v/>
      </c>
      <c r="BA22" s="1709" t="str">
        <f t="shared" si="14"/>
        <v/>
      </c>
      <c r="BB22" s="1752" t="str">
        <f t="shared" si="15"/>
        <v/>
      </c>
      <c r="BC22" s="1753" t="str">
        <f t="shared" si="16"/>
        <v/>
      </c>
      <c r="BD22" s="1714" t="str">
        <f t="shared" si="17"/>
        <v/>
      </c>
      <c r="BE22" s="1709" t="str">
        <f t="shared" si="18"/>
        <v/>
      </c>
      <c r="BF22" s="1752" t="str">
        <f t="shared" si="19"/>
        <v/>
      </c>
      <c r="BG22" s="1753" t="str">
        <f t="shared" si="20"/>
        <v/>
      </c>
      <c r="BH22" s="1416"/>
      <c r="BJ22" s="995" t="str">
        <f t="shared" si="59"/>
        <v>G25</v>
      </c>
      <c r="BK22" s="993" t="b">
        <f t="shared" si="21"/>
        <v>0</v>
      </c>
      <c r="BL22" s="1800" t="b">
        <v>0</v>
      </c>
      <c r="BM22" s="989">
        <f t="shared" si="22"/>
        <v>52</v>
      </c>
      <c r="BN22" s="989" t="str">
        <f t="shared" si="23"/>
        <v>VG</v>
      </c>
      <c r="BO22" s="989">
        <f t="shared" si="24"/>
        <v>9</v>
      </c>
      <c r="BP22" s="989" t="str">
        <f t="shared" si="25"/>
        <v>15.3/9.1</v>
      </c>
      <c r="BQ22" s="989">
        <f t="shared" si="26"/>
        <v>0</v>
      </c>
      <c r="BR22" s="989" t="b">
        <f t="shared" si="27"/>
        <v>1</v>
      </c>
      <c r="BS22" s="1302">
        <f t="shared" si="28"/>
        <v>7.75</v>
      </c>
      <c r="BT22" s="990" t="str">
        <f t="shared" si="29"/>
        <v>Yes</v>
      </c>
      <c r="BU22" s="1302">
        <f t="shared" si="30"/>
        <v>6</v>
      </c>
      <c r="BV22" s="990" t="str">
        <f t="shared" si="31"/>
        <v>Yes</v>
      </c>
      <c r="BW22" s="991">
        <f t="shared" si="32"/>
        <v>14</v>
      </c>
      <c r="BX22" s="991" t="str">
        <f t="shared" si="33"/>
        <v>G25</v>
      </c>
      <c r="BY22" s="991" t="b">
        <f t="shared" si="34"/>
        <v>0</v>
      </c>
      <c r="BZ22" s="991" t="b">
        <f t="shared" si="52"/>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35"/>
        <v/>
      </c>
      <c r="EN22" s="1428" t="str">
        <f t="shared" si="36"/>
        <v/>
      </c>
      <c r="EO22" s="1429" t="str">
        <f t="shared" si="37"/>
        <v/>
      </c>
      <c r="EP22" s="1430" t="str">
        <f t="shared" si="38"/>
        <v/>
      </c>
      <c r="EQ22" s="1434" t="str">
        <f t="shared" si="39"/>
        <v/>
      </c>
      <c r="ER22" s="1440" t="str">
        <f t="shared" si="40"/>
        <v/>
      </c>
      <c r="ES22" s="1441" t="str">
        <f t="shared" si="41"/>
        <v/>
      </c>
      <c r="ET22" s="1442" t="str">
        <f t="shared" si="42"/>
        <v/>
      </c>
      <c r="EU22" s="1443" t="str">
        <f t="shared" si="53"/>
        <v/>
      </c>
      <c r="EX22" s="503" t="str">
        <f t="shared" si="54"/>
        <v>G25B</v>
      </c>
      <c r="EY22" s="940" t="b">
        <f t="shared" ca="1" si="43"/>
        <v>1</v>
      </c>
      <c r="EZ22" s="940">
        <f t="shared" si="55"/>
        <v>5</v>
      </c>
      <c r="FA22" s="958" t="b">
        <f t="shared" si="60"/>
        <v>1</v>
      </c>
      <c r="FB22" s="134">
        <f t="shared" si="56"/>
        <v>669.125</v>
      </c>
      <c r="FC22" s="134">
        <f t="shared" si="44"/>
        <v>72.375</v>
      </c>
      <c r="FD22" s="134">
        <f t="shared" si="45"/>
        <v>523.25</v>
      </c>
      <c r="FE22" s="134">
        <f t="shared" si="46"/>
        <v>73.5</v>
      </c>
      <c r="FF22" s="134">
        <f t="shared" si="57"/>
        <v>669.125</v>
      </c>
      <c r="FN22" s="754" t="b">
        <v>0</v>
      </c>
      <c r="FO22" s="754" t="b">
        <f t="shared" si="47"/>
        <v>1</v>
      </c>
      <c r="FP22" s="754" t="b">
        <v>0</v>
      </c>
      <c r="FQ22" s="754" t="b">
        <f t="shared" si="58"/>
        <v>1</v>
      </c>
      <c r="FW22" s="23"/>
      <c r="FX22" s="23"/>
      <c r="FZ22" s="23"/>
      <c r="GA22" s="1761">
        <v>56</v>
      </c>
      <c r="GB22" s="1762">
        <v>0</v>
      </c>
      <c r="GC22" s="1763">
        <v>-0.25</v>
      </c>
      <c r="GD22" s="1764">
        <v>-0.875</v>
      </c>
      <c r="GE22" s="1765">
        <f t="shared" si="48"/>
        <v>0</v>
      </c>
      <c r="GF22" s="582" t="str">
        <f t="shared" si="49"/>
        <v>G25</v>
      </c>
      <c r="GG22" s="692">
        <v>0</v>
      </c>
      <c r="GH22" s="1135">
        <v>0</v>
      </c>
      <c r="GI22" s="692"/>
      <c r="GJ22" s="1135"/>
      <c r="GK22" s="1640">
        <f t="shared" si="50"/>
        <v>670.875</v>
      </c>
      <c r="GL22" s="1640">
        <f t="shared" si="51"/>
        <v>670.875</v>
      </c>
      <c r="GM22" s="1641">
        <f>IF(ABS(GK22-GL22)&gt;='Job Info.'!$L$22,ABS(GK22-GL22),0)</f>
        <v>0</v>
      </c>
      <c r="HA22" s="1241" t="s">
        <v>1425</v>
      </c>
      <c r="HB22" s="1242">
        <v>1</v>
      </c>
      <c r="HC22" s="1242" t="s">
        <v>1585</v>
      </c>
      <c r="HD22" s="1243">
        <v>55</v>
      </c>
      <c r="HE22" s="1244">
        <v>10.875</v>
      </c>
      <c r="HF22" s="1242">
        <v>11.125</v>
      </c>
      <c r="HG22" s="1242">
        <v>0</v>
      </c>
      <c r="HH22" s="1242">
        <v>1.75</v>
      </c>
      <c r="HI22" s="1242" t="s">
        <v>113</v>
      </c>
      <c r="HJ22" s="1242" t="s">
        <v>116</v>
      </c>
      <c r="HK22" s="1242" t="s">
        <v>116</v>
      </c>
      <c r="HL22" s="1242" t="s">
        <v>116</v>
      </c>
      <c r="HM22" s="1242">
        <v>7.5</v>
      </c>
      <c r="HN22" s="1242">
        <v>10</v>
      </c>
      <c r="HO22" s="1242">
        <v>0</v>
      </c>
      <c r="HP22" s="1242">
        <v>6.75</v>
      </c>
      <c r="HQ22" s="1242">
        <v>0</v>
      </c>
      <c r="HR22" s="1242">
        <v>7.125</v>
      </c>
      <c r="HS22" s="1242">
        <v>0</v>
      </c>
      <c r="HT22" s="1242">
        <v>6.25</v>
      </c>
      <c r="HU22" s="1242">
        <v>0</v>
      </c>
      <c r="HV22" s="1242">
        <v>2.125</v>
      </c>
      <c r="HW22" s="1242">
        <v>5</v>
      </c>
      <c r="HX22" s="1242" t="s">
        <v>116</v>
      </c>
      <c r="HY22" s="1246" t="s">
        <v>116</v>
      </c>
      <c r="HZ22" s="1246" t="s">
        <v>1640</v>
      </c>
      <c r="IA22" s="1246" t="s">
        <v>116</v>
      </c>
      <c r="IB22" s="1246"/>
      <c r="IC22" s="1246"/>
      <c r="ID22" s="1261"/>
      <c r="IE22" s="1241" t="s">
        <v>1425</v>
      </c>
      <c r="IF22" s="1242" t="s">
        <v>35</v>
      </c>
      <c r="IG22" s="1243">
        <v>6</v>
      </c>
      <c r="IH22" s="1244">
        <v>0.375</v>
      </c>
      <c r="II22" s="1242">
        <v>7</v>
      </c>
      <c r="IJ22" s="1243">
        <v>6</v>
      </c>
      <c r="IK22" s="1244">
        <v>2.75</v>
      </c>
      <c r="IL22" s="1242">
        <v>6</v>
      </c>
      <c r="IM22" s="1242">
        <v>1.5</v>
      </c>
      <c r="IN22" s="1242" t="s">
        <v>116</v>
      </c>
      <c r="IO22" s="1242" t="s">
        <v>35</v>
      </c>
      <c r="IP22" s="1242">
        <v>5</v>
      </c>
      <c r="IQ22" s="1242">
        <v>13</v>
      </c>
      <c r="IR22" s="1242">
        <v>4</v>
      </c>
      <c r="IS22" s="1243">
        <v>1.75</v>
      </c>
      <c r="IT22" s="1244" t="s">
        <v>116</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61"/>
        <v>1</v>
      </c>
    </row>
    <row r="23" spans="1:272" ht="12.6" customHeight="1" x14ac:dyDescent="0.25">
      <c r="A23" s="1448" t="s">
        <v>1426</v>
      </c>
      <c r="B23" s="1681">
        <v>1</v>
      </c>
      <c r="C23" s="1449" t="s">
        <v>1779</v>
      </c>
      <c r="D23" s="1705">
        <v>55</v>
      </c>
      <c r="E23" s="1706">
        <v>8.375</v>
      </c>
      <c r="F23" s="1707">
        <v>11.125</v>
      </c>
      <c r="G23" s="1708">
        <v>0</v>
      </c>
      <c r="H23" s="1709">
        <v>1.75</v>
      </c>
      <c r="I23" s="1710" t="s">
        <v>113</v>
      </c>
      <c r="J23" s="1705">
        <v>0</v>
      </c>
      <c r="K23" s="1709">
        <v>5</v>
      </c>
      <c r="L23" s="1711" t="s">
        <v>158</v>
      </c>
      <c r="M23" s="1712">
        <v>7.5</v>
      </c>
      <c r="N23" s="1713">
        <v>10</v>
      </c>
      <c r="O23" s="1708">
        <v>0</v>
      </c>
      <c r="P23" s="1709">
        <v>6.75</v>
      </c>
      <c r="Q23" s="1705">
        <v>0</v>
      </c>
      <c r="R23" s="1706">
        <v>4.625</v>
      </c>
      <c r="S23" s="1714">
        <v>0</v>
      </c>
      <c r="T23" s="1709">
        <v>6.25</v>
      </c>
      <c r="U23" s="1705">
        <v>0</v>
      </c>
      <c r="V23" s="1709">
        <v>4.25</v>
      </c>
      <c r="W23" s="1713">
        <v>5</v>
      </c>
      <c r="X23" s="1715" t="str">
        <f t="shared" si="0"/>
        <v/>
      </c>
      <c r="Y23" s="1716" t="str">
        <f t="shared" si="1"/>
        <v/>
      </c>
      <c r="Z23" s="2665" t="s">
        <v>1803</v>
      </c>
      <c r="AA23" s="1776" t="str">
        <f t="shared" si="2"/>
        <v/>
      </c>
      <c r="AB23" s="1448" t="s">
        <v>1426</v>
      </c>
      <c r="AC23" s="1710" t="s">
        <v>35</v>
      </c>
      <c r="AD23" s="1705">
        <v>6</v>
      </c>
      <c r="AE23" s="1709">
        <v>0.375</v>
      </c>
      <c r="AF23" s="1710">
        <v>7</v>
      </c>
      <c r="AG23" s="1705">
        <v>6</v>
      </c>
      <c r="AH23" s="1709">
        <v>2.75</v>
      </c>
      <c r="AI23" s="1705">
        <v>5</v>
      </c>
      <c r="AJ23" s="1709">
        <v>6</v>
      </c>
      <c r="AK23" s="1747" t="str">
        <f t="shared" si="3"/>
        <v/>
      </c>
      <c r="AL23" s="1748" t="s">
        <v>35</v>
      </c>
      <c r="AM23" s="1749">
        <v>5</v>
      </c>
      <c r="AN23" s="1710">
        <v>13</v>
      </c>
      <c r="AO23" s="1713">
        <v>4</v>
      </c>
      <c r="AP23" s="1712">
        <v>1.75</v>
      </c>
      <c r="AQ23" s="1751" t="str">
        <f t="shared" si="4"/>
        <v/>
      </c>
      <c r="AR23" s="1708">
        <v>54</v>
      </c>
      <c r="AS23" s="1709">
        <v>8</v>
      </c>
      <c r="AT23" s="1752">
        <v>15.3</v>
      </c>
      <c r="AU23" s="1753" t="s">
        <v>35</v>
      </c>
      <c r="AV23" s="1714" t="str">
        <f t="shared" si="9"/>
        <v/>
      </c>
      <c r="AW23" s="1709" t="str">
        <f t="shared" si="10"/>
        <v/>
      </c>
      <c r="AX23" s="1752" t="str">
        <f t="shared" si="11"/>
        <v/>
      </c>
      <c r="AY23" s="1753" t="str">
        <f t="shared" si="12"/>
        <v/>
      </c>
      <c r="AZ23" s="1714" t="str">
        <f t="shared" si="13"/>
        <v/>
      </c>
      <c r="BA23" s="1709" t="str">
        <f t="shared" si="14"/>
        <v/>
      </c>
      <c r="BB23" s="1752" t="str">
        <f t="shared" si="15"/>
        <v/>
      </c>
      <c r="BC23" s="1753" t="str">
        <f t="shared" si="16"/>
        <v/>
      </c>
      <c r="BD23" s="1714" t="str">
        <f t="shared" si="17"/>
        <v/>
      </c>
      <c r="BE23" s="1709" t="str">
        <f t="shared" si="18"/>
        <v/>
      </c>
      <c r="BF23" s="1752" t="str">
        <f t="shared" si="19"/>
        <v/>
      </c>
      <c r="BG23" s="1753" t="str">
        <f t="shared" si="20"/>
        <v/>
      </c>
      <c r="BH23" s="1416"/>
      <c r="BJ23" s="995" t="str">
        <f t="shared" si="59"/>
        <v>G26</v>
      </c>
      <c r="BK23" s="993" t="b">
        <f t="shared" si="21"/>
        <v>0</v>
      </c>
      <c r="BL23" s="1800" t="b">
        <v>0</v>
      </c>
      <c r="BM23" s="989">
        <f t="shared" si="22"/>
        <v>52</v>
      </c>
      <c r="BN23" s="989" t="str">
        <f t="shared" si="23"/>
        <v>VG</v>
      </c>
      <c r="BO23" s="989">
        <f t="shared" si="24"/>
        <v>9</v>
      </c>
      <c r="BP23" s="989" t="str">
        <f t="shared" si="25"/>
        <v>15.3/9.1</v>
      </c>
      <c r="BQ23" s="989">
        <f t="shared" si="26"/>
        <v>0</v>
      </c>
      <c r="BR23" s="989" t="b">
        <f t="shared" si="27"/>
        <v>1</v>
      </c>
      <c r="BS23" s="1302">
        <f t="shared" si="28"/>
        <v>7.75</v>
      </c>
      <c r="BT23" s="990" t="str">
        <f t="shared" si="29"/>
        <v>Yes</v>
      </c>
      <c r="BU23" s="1302">
        <f t="shared" si="30"/>
        <v>6</v>
      </c>
      <c r="BV23" s="990" t="str">
        <f t="shared" si="31"/>
        <v>Yes</v>
      </c>
      <c r="BW23" s="991">
        <f t="shared" si="32"/>
        <v>18</v>
      </c>
      <c r="BX23" s="991" t="str">
        <f t="shared" si="33"/>
        <v>G26</v>
      </c>
      <c r="BY23" s="991" t="b">
        <f t="shared" si="34"/>
        <v>0</v>
      </c>
      <c r="BZ23" s="991" t="b">
        <f t="shared" si="52"/>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35"/>
        <v/>
      </c>
      <c r="EN23" s="1428" t="str">
        <f t="shared" si="36"/>
        <v/>
      </c>
      <c r="EO23" s="1429" t="str">
        <f t="shared" si="37"/>
        <v/>
      </c>
      <c r="EP23" s="1430" t="str">
        <f t="shared" si="38"/>
        <v/>
      </c>
      <c r="EQ23" s="1434" t="str">
        <f t="shared" si="39"/>
        <v/>
      </c>
      <c r="ER23" s="1440" t="str">
        <f t="shared" si="40"/>
        <v/>
      </c>
      <c r="ES23" s="1441" t="str">
        <f t="shared" si="41"/>
        <v/>
      </c>
      <c r="ET23" s="1442" t="str">
        <f t="shared" si="42"/>
        <v/>
      </c>
      <c r="EU23" s="1443" t="str">
        <f t="shared" si="53"/>
        <v/>
      </c>
      <c r="EX23" s="503" t="str">
        <f t="shared" si="54"/>
        <v>G26B</v>
      </c>
      <c r="EY23" s="940" t="b">
        <f t="shared" ca="1" si="43"/>
        <v>1</v>
      </c>
      <c r="EZ23" s="940">
        <f t="shared" si="55"/>
        <v>5</v>
      </c>
      <c r="FA23" s="958" t="b">
        <f t="shared" si="60"/>
        <v>1</v>
      </c>
      <c r="FB23" s="134">
        <f t="shared" si="56"/>
        <v>661.625</v>
      </c>
      <c r="FC23" s="134">
        <f t="shared" si="44"/>
        <v>72.375</v>
      </c>
      <c r="FD23" s="134">
        <f t="shared" si="45"/>
        <v>523.25</v>
      </c>
      <c r="FE23" s="134">
        <f t="shared" si="46"/>
        <v>66</v>
      </c>
      <c r="FF23" s="134">
        <f t="shared" si="57"/>
        <v>661.625</v>
      </c>
      <c r="FN23" s="754" t="b">
        <v>0</v>
      </c>
      <c r="FO23" s="754" t="b">
        <f t="shared" si="47"/>
        <v>1</v>
      </c>
      <c r="FP23" s="754" t="b">
        <v>0</v>
      </c>
      <c r="FQ23" s="754" t="b">
        <f t="shared" si="58"/>
        <v>1</v>
      </c>
      <c r="FW23" s="2"/>
      <c r="FX23" s="2"/>
      <c r="FZ23" s="2"/>
      <c r="GA23" s="1761">
        <v>56</v>
      </c>
      <c r="GB23" s="1762">
        <v>0</v>
      </c>
      <c r="GC23" s="1763">
        <v>-0.25</v>
      </c>
      <c r="GD23" s="1764">
        <v>-3.375</v>
      </c>
      <c r="GE23" s="1765">
        <f t="shared" si="48"/>
        <v>0</v>
      </c>
      <c r="GF23" s="582" t="str">
        <f t="shared" si="49"/>
        <v>G26</v>
      </c>
      <c r="GG23" s="692">
        <v>0</v>
      </c>
      <c r="GH23" s="1135">
        <v>0</v>
      </c>
      <c r="GI23" s="692"/>
      <c r="GJ23" s="1135"/>
      <c r="GK23" s="1640">
        <f t="shared" si="50"/>
        <v>668.375</v>
      </c>
      <c r="GL23" s="1640">
        <f t="shared" si="51"/>
        <v>668.375</v>
      </c>
      <c r="GM23" s="1641">
        <f>IF(ABS(GK23-GL23)&gt;='Job Info.'!$L$22,ABS(GK23-GL23),0)</f>
        <v>0</v>
      </c>
      <c r="HA23" s="1241" t="s">
        <v>1426</v>
      </c>
      <c r="HB23" s="1242">
        <v>1</v>
      </c>
      <c r="HC23" s="1242" t="s">
        <v>1585</v>
      </c>
      <c r="HD23" s="1243">
        <v>55</v>
      </c>
      <c r="HE23" s="1244">
        <v>8.375</v>
      </c>
      <c r="HF23" s="1242">
        <v>11.125</v>
      </c>
      <c r="HG23" s="1242">
        <v>0</v>
      </c>
      <c r="HH23" s="1242">
        <v>1.75</v>
      </c>
      <c r="HI23" s="1242" t="s">
        <v>113</v>
      </c>
      <c r="HJ23" s="1242">
        <v>0</v>
      </c>
      <c r="HK23" s="1242">
        <v>5</v>
      </c>
      <c r="HL23" s="1242" t="s">
        <v>158</v>
      </c>
      <c r="HM23" s="1242">
        <v>7.5</v>
      </c>
      <c r="HN23" s="1242">
        <v>10</v>
      </c>
      <c r="HO23" s="1242">
        <v>0</v>
      </c>
      <c r="HP23" s="1242">
        <v>6.75</v>
      </c>
      <c r="HQ23" s="1242">
        <v>0</v>
      </c>
      <c r="HR23" s="1242">
        <v>4.625</v>
      </c>
      <c r="HS23" s="1242">
        <v>0</v>
      </c>
      <c r="HT23" s="1242">
        <v>6.25</v>
      </c>
      <c r="HU23" s="1242">
        <v>0</v>
      </c>
      <c r="HV23" s="1242">
        <v>4.25</v>
      </c>
      <c r="HW23" s="1242">
        <v>5</v>
      </c>
      <c r="HX23" s="1242" t="s">
        <v>116</v>
      </c>
      <c r="HY23" s="1246" t="s">
        <v>116</v>
      </c>
      <c r="HZ23" s="1246" t="s">
        <v>1641</v>
      </c>
      <c r="IA23" s="1246" t="s">
        <v>116</v>
      </c>
      <c r="IB23" s="1246"/>
      <c r="IC23" s="1246"/>
      <c r="ID23" s="1261"/>
      <c r="IE23" s="1241" t="s">
        <v>1426</v>
      </c>
      <c r="IF23" s="1242" t="s">
        <v>35</v>
      </c>
      <c r="IG23" s="1243">
        <v>6</v>
      </c>
      <c r="IH23" s="1244">
        <v>0.375</v>
      </c>
      <c r="II23" s="1242">
        <v>7</v>
      </c>
      <c r="IJ23" s="1243">
        <v>6</v>
      </c>
      <c r="IK23" s="1244">
        <v>2.75</v>
      </c>
      <c r="IL23" s="1242">
        <v>5</v>
      </c>
      <c r="IM23" s="1242">
        <v>6</v>
      </c>
      <c r="IN23" s="1242" t="s">
        <v>116</v>
      </c>
      <c r="IO23" s="1242" t="s">
        <v>35</v>
      </c>
      <c r="IP23" s="1242">
        <v>5</v>
      </c>
      <c r="IQ23" s="1242">
        <v>13</v>
      </c>
      <c r="IR23" s="1242">
        <v>4</v>
      </c>
      <c r="IS23" s="1243">
        <v>1.75</v>
      </c>
      <c r="IT23" s="1244" t="s">
        <v>116</v>
      </c>
      <c r="IU23" s="1242">
        <v>54</v>
      </c>
      <c r="IV23" s="1242">
        <v>8</v>
      </c>
      <c r="IW23" s="1243">
        <v>15.3</v>
      </c>
      <c r="IX23" s="1244" t="s">
        <v>35</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61"/>
        <v>1</v>
      </c>
    </row>
    <row r="24" spans="1:272" ht="12.6" customHeight="1" x14ac:dyDescent="0.25">
      <c r="A24" s="1448" t="s">
        <v>1427</v>
      </c>
      <c r="B24" s="1681">
        <v>1</v>
      </c>
      <c r="C24" s="1449" t="s">
        <v>1780</v>
      </c>
      <c r="D24" s="1705">
        <v>55</v>
      </c>
      <c r="E24" s="1706">
        <v>8.375</v>
      </c>
      <c r="F24" s="1707">
        <v>11.125</v>
      </c>
      <c r="G24" s="1708">
        <v>0</v>
      </c>
      <c r="H24" s="1709">
        <v>1.75</v>
      </c>
      <c r="I24" s="1710" t="s">
        <v>113</v>
      </c>
      <c r="J24" s="1705">
        <v>0</v>
      </c>
      <c r="K24" s="1709">
        <v>5</v>
      </c>
      <c r="L24" s="1711" t="s">
        <v>158</v>
      </c>
      <c r="M24" s="1712">
        <v>7.5</v>
      </c>
      <c r="N24" s="1713">
        <v>10</v>
      </c>
      <c r="O24" s="1708">
        <v>0</v>
      </c>
      <c r="P24" s="1709">
        <v>6.75</v>
      </c>
      <c r="Q24" s="1705">
        <v>0</v>
      </c>
      <c r="R24" s="1706">
        <v>4.625</v>
      </c>
      <c r="S24" s="1714">
        <v>0</v>
      </c>
      <c r="T24" s="1709">
        <v>6.25</v>
      </c>
      <c r="U24" s="1705">
        <v>0</v>
      </c>
      <c r="V24" s="1709">
        <v>4.25</v>
      </c>
      <c r="W24" s="1713">
        <v>5</v>
      </c>
      <c r="X24" s="1715" t="str">
        <f t="shared" si="0"/>
        <v/>
      </c>
      <c r="Y24" s="1716" t="str">
        <f t="shared" si="1"/>
        <v/>
      </c>
      <c r="Z24" s="2665" t="s">
        <v>1804</v>
      </c>
      <c r="AA24" s="1776" t="str">
        <f t="shared" si="2"/>
        <v/>
      </c>
      <c r="AB24" s="1448" t="s">
        <v>1427</v>
      </c>
      <c r="AC24" s="1710" t="s">
        <v>35</v>
      </c>
      <c r="AD24" s="1705">
        <v>6</v>
      </c>
      <c r="AE24" s="1709">
        <v>0.375</v>
      </c>
      <c r="AF24" s="1710">
        <v>7</v>
      </c>
      <c r="AG24" s="1705">
        <v>6</v>
      </c>
      <c r="AH24" s="1709">
        <v>2.75</v>
      </c>
      <c r="AI24" s="1705">
        <v>5</v>
      </c>
      <c r="AJ24" s="1709">
        <v>6</v>
      </c>
      <c r="AK24" s="1747" t="str">
        <f t="shared" si="3"/>
        <v/>
      </c>
      <c r="AL24" s="1748" t="s">
        <v>35</v>
      </c>
      <c r="AM24" s="1749">
        <v>5</v>
      </c>
      <c r="AN24" s="1710">
        <v>13</v>
      </c>
      <c r="AO24" s="1713">
        <v>4</v>
      </c>
      <c r="AP24" s="1712">
        <v>1.75</v>
      </c>
      <c r="AQ24" s="1751" t="str">
        <f t="shared" si="4"/>
        <v/>
      </c>
      <c r="AR24" s="1708">
        <v>54</v>
      </c>
      <c r="AS24" s="1709">
        <v>8</v>
      </c>
      <c r="AT24" s="1752">
        <v>13.8</v>
      </c>
      <c r="AU24" s="1753" t="s">
        <v>35</v>
      </c>
      <c r="AV24" s="1714" t="str">
        <f t="shared" si="9"/>
        <v/>
      </c>
      <c r="AW24" s="1709" t="str">
        <f t="shared" si="10"/>
        <v/>
      </c>
      <c r="AX24" s="1752" t="str">
        <f t="shared" si="11"/>
        <v/>
      </c>
      <c r="AY24" s="1753" t="str">
        <f t="shared" si="12"/>
        <v/>
      </c>
      <c r="AZ24" s="1714" t="str">
        <f t="shared" si="13"/>
        <v/>
      </c>
      <c r="BA24" s="1709" t="str">
        <f t="shared" si="14"/>
        <v/>
      </c>
      <c r="BB24" s="1752" t="str">
        <f t="shared" si="15"/>
        <v/>
      </c>
      <c r="BC24" s="1753" t="str">
        <f t="shared" si="16"/>
        <v/>
      </c>
      <c r="BD24" s="1714" t="str">
        <f t="shared" si="17"/>
        <v/>
      </c>
      <c r="BE24" s="1709" t="str">
        <f t="shared" si="18"/>
        <v/>
      </c>
      <c r="BF24" s="1752" t="str">
        <f t="shared" si="19"/>
        <v/>
      </c>
      <c r="BG24" s="1753" t="str">
        <f t="shared" si="20"/>
        <v/>
      </c>
      <c r="BH24" s="1416"/>
      <c r="BJ24" s="995" t="str">
        <f t="shared" si="59"/>
        <v>G27</v>
      </c>
      <c r="BK24" s="993" t="b">
        <f t="shared" si="21"/>
        <v>0</v>
      </c>
      <c r="BL24" s="1800" t="b">
        <v>0</v>
      </c>
      <c r="BM24" s="989">
        <f t="shared" si="22"/>
        <v>48</v>
      </c>
      <c r="BN24" s="989" t="str">
        <f t="shared" si="23"/>
        <v>VG</v>
      </c>
      <c r="BO24" s="989">
        <f t="shared" si="24"/>
        <v>9</v>
      </c>
      <c r="BP24" s="989" t="str">
        <f t="shared" si="25"/>
        <v>13.8/8.2</v>
      </c>
      <c r="BQ24" s="989">
        <f t="shared" si="26"/>
        <v>0</v>
      </c>
      <c r="BR24" s="989" t="b">
        <f t="shared" si="27"/>
        <v>1</v>
      </c>
      <c r="BS24" s="1302">
        <f t="shared" si="28"/>
        <v>7.75</v>
      </c>
      <c r="BT24" s="990" t="str">
        <f t="shared" si="29"/>
        <v>Yes</v>
      </c>
      <c r="BU24" s="1302">
        <f t="shared" si="30"/>
        <v>6</v>
      </c>
      <c r="BV24" s="990" t="str">
        <f t="shared" si="31"/>
        <v>Yes</v>
      </c>
      <c r="BW24" s="991">
        <f t="shared" si="32"/>
        <v>18</v>
      </c>
      <c r="BX24" s="991" t="str">
        <f t="shared" si="33"/>
        <v>G27</v>
      </c>
      <c r="BY24" s="991" t="b">
        <f t="shared" si="34"/>
        <v>0</v>
      </c>
      <c r="BZ24" s="991" t="b">
        <f t="shared" si="52"/>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35"/>
        <v/>
      </c>
      <c r="EN24" s="1428" t="str">
        <f t="shared" si="36"/>
        <v/>
      </c>
      <c r="EO24" s="1429" t="str">
        <f t="shared" si="37"/>
        <v/>
      </c>
      <c r="EP24" s="1430" t="str">
        <f t="shared" si="38"/>
        <v/>
      </c>
      <c r="EQ24" s="1434" t="str">
        <f t="shared" si="39"/>
        <v/>
      </c>
      <c r="ER24" s="1440" t="str">
        <f t="shared" si="40"/>
        <v/>
      </c>
      <c r="ES24" s="1441" t="str">
        <f t="shared" si="41"/>
        <v/>
      </c>
      <c r="ET24" s="1442" t="str">
        <f t="shared" si="42"/>
        <v/>
      </c>
      <c r="EU24" s="1443" t="str">
        <f t="shared" si="53"/>
        <v/>
      </c>
      <c r="EX24" s="503" t="str">
        <f t="shared" si="54"/>
        <v>G27B</v>
      </c>
      <c r="EY24" s="940" t="b">
        <f t="shared" ca="1" si="43"/>
        <v>1</v>
      </c>
      <c r="EZ24" s="940">
        <f t="shared" si="55"/>
        <v>5</v>
      </c>
      <c r="FA24" s="958" t="b">
        <f t="shared" si="60"/>
        <v>1</v>
      </c>
      <c r="FB24" s="134">
        <f t="shared" si="56"/>
        <v>661.625</v>
      </c>
      <c r="FC24" s="134">
        <f t="shared" si="44"/>
        <v>72.375</v>
      </c>
      <c r="FD24" s="134">
        <f t="shared" si="45"/>
        <v>523.25</v>
      </c>
      <c r="FE24" s="134">
        <f t="shared" si="46"/>
        <v>66</v>
      </c>
      <c r="FF24" s="134">
        <f t="shared" si="57"/>
        <v>661.625</v>
      </c>
      <c r="FN24" s="754" t="b">
        <v>0</v>
      </c>
      <c r="FO24" s="754" t="b">
        <f t="shared" si="47"/>
        <v>1</v>
      </c>
      <c r="FP24" s="754" t="b">
        <v>0</v>
      </c>
      <c r="FQ24" s="754" t="b">
        <f t="shared" si="58"/>
        <v>1</v>
      </c>
      <c r="FW24" s="2"/>
      <c r="FX24" s="2"/>
      <c r="FZ24" s="2"/>
      <c r="GA24" s="1761">
        <v>56</v>
      </c>
      <c r="GB24" s="1762">
        <v>0</v>
      </c>
      <c r="GC24" s="1763">
        <v>-0.25</v>
      </c>
      <c r="GD24" s="1764">
        <v>-3.375</v>
      </c>
      <c r="GE24" s="1765">
        <f t="shared" si="48"/>
        <v>0</v>
      </c>
      <c r="GF24" s="582" t="str">
        <f t="shared" si="49"/>
        <v>G27</v>
      </c>
      <c r="GG24" s="692">
        <v>0</v>
      </c>
      <c r="GH24" s="1135">
        <v>0</v>
      </c>
      <c r="GI24" s="692"/>
      <c r="GJ24" s="1135"/>
      <c r="GK24" s="1640">
        <f t="shared" si="50"/>
        <v>668.375</v>
      </c>
      <c r="GL24" s="1640">
        <f t="shared" si="51"/>
        <v>668.375</v>
      </c>
      <c r="GM24" s="1641">
        <f>IF(ABS(GK24-GL24)&gt;='Job Info.'!$L$22,ABS(GK24-GL24),0)</f>
        <v>0</v>
      </c>
      <c r="HA24" s="1241" t="s">
        <v>1427</v>
      </c>
      <c r="HB24" s="1242">
        <v>1</v>
      </c>
      <c r="HC24" s="1242" t="s">
        <v>1586</v>
      </c>
      <c r="HD24" s="1243">
        <v>55</v>
      </c>
      <c r="HE24" s="1244">
        <v>8.375</v>
      </c>
      <c r="HF24" s="1242">
        <v>11.125</v>
      </c>
      <c r="HG24" s="1242">
        <v>0</v>
      </c>
      <c r="HH24" s="1242">
        <v>1.75</v>
      </c>
      <c r="HI24" s="1242" t="s">
        <v>113</v>
      </c>
      <c r="HJ24" s="1242">
        <v>0</v>
      </c>
      <c r="HK24" s="1242">
        <v>5</v>
      </c>
      <c r="HL24" s="1242" t="s">
        <v>158</v>
      </c>
      <c r="HM24" s="1242">
        <v>7.5</v>
      </c>
      <c r="HN24" s="1242">
        <v>10</v>
      </c>
      <c r="HO24" s="1242">
        <v>0</v>
      </c>
      <c r="HP24" s="1242">
        <v>6.75</v>
      </c>
      <c r="HQ24" s="1242">
        <v>0</v>
      </c>
      <c r="HR24" s="1242">
        <v>4.625</v>
      </c>
      <c r="HS24" s="1242">
        <v>0</v>
      </c>
      <c r="HT24" s="1242">
        <v>6.25</v>
      </c>
      <c r="HU24" s="1242">
        <v>0</v>
      </c>
      <c r="HV24" s="1242">
        <v>4.25</v>
      </c>
      <c r="HW24" s="1242">
        <v>5</v>
      </c>
      <c r="HX24" s="1242" t="s">
        <v>116</v>
      </c>
      <c r="HY24" s="1246" t="s">
        <v>116</v>
      </c>
      <c r="HZ24" s="1246" t="s">
        <v>1642</v>
      </c>
      <c r="IA24" s="1246" t="s">
        <v>116</v>
      </c>
      <c r="IB24" s="1246"/>
      <c r="IC24" s="1246"/>
      <c r="ID24" s="1261"/>
      <c r="IE24" s="1241" t="s">
        <v>1427</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13.8</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61"/>
        <v>1</v>
      </c>
    </row>
    <row r="25" spans="1:272" ht="12.6" customHeight="1" x14ac:dyDescent="0.25">
      <c r="A25" s="1448" t="s">
        <v>1428</v>
      </c>
      <c r="B25" s="1681">
        <v>1</v>
      </c>
      <c r="C25" s="1449" t="s">
        <v>1793</v>
      </c>
      <c r="D25" s="1705">
        <v>55</v>
      </c>
      <c r="E25" s="1706">
        <v>11.5</v>
      </c>
      <c r="F25" s="1707">
        <v>11.125</v>
      </c>
      <c r="G25" s="1708">
        <v>0</v>
      </c>
      <c r="H25" s="1709">
        <v>1.75</v>
      </c>
      <c r="I25" s="1710" t="s">
        <v>113</v>
      </c>
      <c r="J25" s="1705">
        <v>0</v>
      </c>
      <c r="K25" s="1709">
        <v>1.75</v>
      </c>
      <c r="L25" s="1711" t="s">
        <v>113</v>
      </c>
      <c r="M25" s="1712">
        <v>7.5</v>
      </c>
      <c r="N25" s="1713">
        <v>7.5</v>
      </c>
      <c r="O25" s="1708">
        <v>0</v>
      </c>
      <c r="P25" s="1709">
        <v>6.75</v>
      </c>
      <c r="Q25" s="1705">
        <v>0</v>
      </c>
      <c r="R25" s="1706">
        <v>6.75</v>
      </c>
      <c r="S25" s="1714">
        <v>0</v>
      </c>
      <c r="T25" s="1709">
        <v>6.25</v>
      </c>
      <c r="U25" s="1705">
        <v>0</v>
      </c>
      <c r="V25" s="1709">
        <v>6.25</v>
      </c>
      <c r="W25" s="1713">
        <v>5</v>
      </c>
      <c r="X25" s="1715" t="str">
        <f t="shared" si="0"/>
        <v/>
      </c>
      <c r="Y25" s="1716" t="str">
        <f t="shared" si="1"/>
        <v/>
      </c>
      <c r="Z25" s="1717" t="s">
        <v>1805</v>
      </c>
      <c r="AA25" s="1776" t="str">
        <f t="shared" si="2"/>
        <v/>
      </c>
      <c r="AB25" s="1448" t="s">
        <v>1428</v>
      </c>
      <c r="AC25" s="1710" t="s">
        <v>35</v>
      </c>
      <c r="AD25" s="1705">
        <v>6</v>
      </c>
      <c r="AE25" s="1709">
        <v>0.375</v>
      </c>
      <c r="AF25" s="1710">
        <v>7</v>
      </c>
      <c r="AG25" s="1705">
        <v>6</v>
      </c>
      <c r="AH25" s="1709">
        <v>2.75</v>
      </c>
      <c r="AI25" s="1705">
        <v>6</v>
      </c>
      <c r="AJ25" s="1709">
        <v>0.375</v>
      </c>
      <c r="AK25" s="1747" t="str">
        <f t="shared" si="3"/>
        <v/>
      </c>
      <c r="AL25" s="1748" t="s">
        <v>35</v>
      </c>
      <c r="AM25" s="1749">
        <v>5</v>
      </c>
      <c r="AN25" s="1710">
        <v>13</v>
      </c>
      <c r="AO25" s="1713">
        <v>4</v>
      </c>
      <c r="AP25" s="1712">
        <v>1.75</v>
      </c>
      <c r="AQ25" s="1751">
        <v>1.75</v>
      </c>
      <c r="AR25" s="1708" t="str">
        <f t="shared" si="5"/>
        <v/>
      </c>
      <c r="AS25" s="1709" t="str">
        <f t="shared" si="6"/>
        <v/>
      </c>
      <c r="AT25" s="1752" t="str">
        <f t="shared" si="7"/>
        <v/>
      </c>
      <c r="AU25" s="1753" t="str">
        <f t="shared" si="8"/>
        <v/>
      </c>
      <c r="AV25" s="1714" t="str">
        <f t="shared" si="9"/>
        <v/>
      </c>
      <c r="AW25" s="1709" t="str">
        <f t="shared" si="10"/>
        <v/>
      </c>
      <c r="AX25" s="1752" t="str">
        <f t="shared" si="11"/>
        <v/>
      </c>
      <c r="AY25" s="1753" t="str">
        <f t="shared" si="12"/>
        <v/>
      </c>
      <c r="AZ25" s="1714" t="str">
        <f t="shared" si="13"/>
        <v/>
      </c>
      <c r="BA25" s="1709" t="str">
        <f t="shared" si="14"/>
        <v/>
      </c>
      <c r="BB25" s="1752" t="str">
        <f t="shared" si="15"/>
        <v/>
      </c>
      <c r="BC25" s="1753" t="str">
        <f t="shared" si="16"/>
        <v/>
      </c>
      <c r="BD25" s="1714" t="str">
        <f t="shared" si="17"/>
        <v/>
      </c>
      <c r="BE25" s="1709" t="str">
        <f t="shared" si="18"/>
        <v/>
      </c>
      <c r="BF25" s="1752" t="str">
        <f t="shared" si="19"/>
        <v/>
      </c>
      <c r="BG25" s="1753" t="str">
        <f t="shared" si="20"/>
        <v/>
      </c>
      <c r="BH25" s="1416"/>
      <c r="BJ25" s="995" t="str">
        <f t="shared" si="59"/>
        <v>G28</v>
      </c>
      <c r="BK25" s="993" t="b">
        <f t="shared" si="21"/>
        <v>0</v>
      </c>
      <c r="BL25" s="1800" t="b">
        <v>0</v>
      </c>
      <c r="BM25" s="989">
        <f t="shared" si="22"/>
        <v>52</v>
      </c>
      <c r="BN25" s="989" t="str">
        <f t="shared" si="23"/>
        <v>VG</v>
      </c>
      <c r="BO25" s="989">
        <f t="shared" si="24"/>
        <v>9</v>
      </c>
      <c r="BP25" s="989" t="str">
        <f t="shared" si="25"/>
        <v>18.3/10.8</v>
      </c>
      <c r="BQ25" s="989">
        <f t="shared" si="26"/>
        <v>0</v>
      </c>
      <c r="BR25" s="989" t="b">
        <f t="shared" si="27"/>
        <v>1</v>
      </c>
      <c r="BS25" s="1302">
        <f t="shared" si="28"/>
        <v>7.75</v>
      </c>
      <c r="BT25" s="990" t="str">
        <f t="shared" si="29"/>
        <v>Yes</v>
      </c>
      <c r="BU25" s="1302">
        <f t="shared" si="30"/>
        <v>7.75</v>
      </c>
      <c r="BV25" s="990" t="str">
        <f t="shared" si="31"/>
        <v>Yes</v>
      </c>
      <c r="BW25" s="991">
        <f t="shared" si="32"/>
        <v>15</v>
      </c>
      <c r="BX25" s="991" t="str">
        <f t="shared" si="33"/>
        <v>G28</v>
      </c>
      <c r="BY25" s="991" t="b">
        <f t="shared" si="34"/>
        <v>0</v>
      </c>
      <c r="BZ25" s="991" t="b">
        <f t="shared" si="52"/>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35"/>
        <v/>
      </c>
      <c r="EN25" s="1428" t="str">
        <f t="shared" si="36"/>
        <v/>
      </c>
      <c r="EO25" s="1429" t="str">
        <f t="shared" si="37"/>
        <v/>
      </c>
      <c r="EP25" s="1430" t="str">
        <f t="shared" si="38"/>
        <v/>
      </c>
      <c r="EQ25" s="1434" t="str">
        <f t="shared" si="39"/>
        <v/>
      </c>
      <c r="ER25" s="1440" t="str">
        <f t="shared" si="40"/>
        <v/>
      </c>
      <c r="ES25" s="1441" t="str">
        <f t="shared" si="41"/>
        <v/>
      </c>
      <c r="ET25" s="1442" t="str">
        <f t="shared" si="42"/>
        <v/>
      </c>
      <c r="EU25" s="1443" t="str">
        <f t="shared" si="53"/>
        <v/>
      </c>
      <c r="EX25" s="503" t="str">
        <f t="shared" si="54"/>
        <v>G28B</v>
      </c>
      <c r="EY25" s="940" t="b">
        <f t="shared" ca="1" si="43"/>
        <v>1</v>
      </c>
      <c r="EZ25" s="940">
        <f t="shared" si="55"/>
        <v>5</v>
      </c>
      <c r="FA25" s="958" t="b">
        <f t="shared" si="60"/>
        <v>1</v>
      </c>
      <c r="FB25" s="134">
        <f t="shared" si="56"/>
        <v>668</v>
      </c>
      <c r="FC25" s="134">
        <f t="shared" si="44"/>
        <v>72.375</v>
      </c>
      <c r="FD25" s="134">
        <f t="shared" si="45"/>
        <v>523.25</v>
      </c>
      <c r="FE25" s="134">
        <f t="shared" si="46"/>
        <v>72.375</v>
      </c>
      <c r="FF25" s="134">
        <f t="shared" si="57"/>
        <v>668</v>
      </c>
      <c r="FN25" s="754" t="b">
        <v>0</v>
      </c>
      <c r="FO25" s="754" t="b">
        <f t="shared" si="47"/>
        <v>1</v>
      </c>
      <c r="FP25" s="754" t="b">
        <v>0</v>
      </c>
      <c r="FQ25" s="754" t="b">
        <f t="shared" si="58"/>
        <v>1</v>
      </c>
      <c r="FW25" s="2"/>
      <c r="FX25" s="2"/>
      <c r="FZ25" s="2"/>
      <c r="GA25" s="1761">
        <v>56</v>
      </c>
      <c r="GB25" s="1762">
        <v>0</v>
      </c>
      <c r="GC25" s="1763">
        <v>-0.25</v>
      </c>
      <c r="GD25" s="1764">
        <v>-0.25</v>
      </c>
      <c r="GE25" s="1765">
        <f t="shared" si="48"/>
        <v>0</v>
      </c>
      <c r="GF25" s="582" t="str">
        <f t="shared" si="49"/>
        <v>G28</v>
      </c>
      <c r="GG25" s="692">
        <v>0</v>
      </c>
      <c r="GH25" s="1135">
        <v>0</v>
      </c>
      <c r="GI25" s="692"/>
      <c r="GJ25" s="1135"/>
      <c r="GK25" s="1640">
        <f t="shared" si="50"/>
        <v>671.5</v>
      </c>
      <c r="GL25" s="1640">
        <f t="shared" si="51"/>
        <v>671.5</v>
      </c>
      <c r="GM25" s="1641">
        <f>IF(ABS(GK25-GL25)&gt;='Job Info.'!$L$22,ABS(GK25-GL25),0)</f>
        <v>0</v>
      </c>
      <c r="HA25" s="1241" t="s">
        <v>1428</v>
      </c>
      <c r="HB25" s="1242">
        <v>1</v>
      </c>
      <c r="HC25" s="1242" t="s">
        <v>1587</v>
      </c>
      <c r="HD25" s="1243">
        <v>55</v>
      </c>
      <c r="HE25" s="1244">
        <v>11.5</v>
      </c>
      <c r="HF25" s="1242">
        <v>11.125</v>
      </c>
      <c r="HG25" s="1242">
        <v>0</v>
      </c>
      <c r="HH25" s="1242">
        <v>1.75</v>
      </c>
      <c r="HI25" s="1242" t="s">
        <v>113</v>
      </c>
      <c r="HJ25" s="1242">
        <v>0</v>
      </c>
      <c r="HK25" s="1242">
        <v>1.75</v>
      </c>
      <c r="HL25" s="1242" t="s">
        <v>113</v>
      </c>
      <c r="HM25" s="1242">
        <v>7.5</v>
      </c>
      <c r="HN25" s="1242">
        <v>7.5</v>
      </c>
      <c r="HO25" s="1242">
        <v>0</v>
      </c>
      <c r="HP25" s="1242">
        <v>6.75</v>
      </c>
      <c r="HQ25" s="1242">
        <v>0</v>
      </c>
      <c r="HR25" s="1242">
        <v>6.75</v>
      </c>
      <c r="HS25" s="1242">
        <v>0</v>
      </c>
      <c r="HT25" s="1242">
        <v>6.25</v>
      </c>
      <c r="HU25" s="1242">
        <v>0</v>
      </c>
      <c r="HV25" s="1242">
        <v>6.25</v>
      </c>
      <c r="HW25" s="1242">
        <v>5</v>
      </c>
      <c r="HX25" s="1242" t="s">
        <v>116</v>
      </c>
      <c r="HY25" s="1246" t="s">
        <v>116</v>
      </c>
      <c r="HZ25" s="1246" t="s">
        <v>1643</v>
      </c>
      <c r="IA25" s="1246" t="s">
        <v>116</v>
      </c>
      <c r="IB25" s="1246"/>
      <c r="IC25" s="1246"/>
      <c r="ID25" s="1261"/>
      <c r="IE25" s="1241" t="s">
        <v>1428</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116</v>
      </c>
      <c r="IV25" s="1242" t="s">
        <v>116</v>
      </c>
      <c r="IW25" s="1243" t="s">
        <v>116</v>
      </c>
      <c r="IX25" s="1244" t="s">
        <v>116</v>
      </c>
      <c r="IY25" s="1242" t="s">
        <v>116</v>
      </c>
      <c r="IZ25" s="1242" t="s">
        <v>116</v>
      </c>
      <c r="JA25" s="1243" t="s">
        <v>116</v>
      </c>
      <c r="JB25" s="1244" t="s">
        <v>116</v>
      </c>
      <c r="JC25" s="1242" t="s">
        <v>116</v>
      </c>
      <c r="JD25" s="1242" t="s">
        <v>116</v>
      </c>
      <c r="JE25" s="1243" t="s">
        <v>116</v>
      </c>
      <c r="JF25" s="1244" t="s">
        <v>116</v>
      </c>
      <c r="JG25" s="1242" t="s">
        <v>116</v>
      </c>
      <c r="JH25" s="1242" t="s">
        <v>116</v>
      </c>
      <c r="JI25" s="1242" t="s">
        <v>116</v>
      </c>
      <c r="JJ25" s="1245" t="s">
        <v>116</v>
      </c>
      <c r="JK25" s="1242">
        <v>1</v>
      </c>
      <c r="JL25" s="1171">
        <f t="shared" ca="1" si="61"/>
        <v>1</v>
      </c>
    </row>
    <row r="26" spans="1:272" ht="12.6" customHeight="1" x14ac:dyDescent="0.25">
      <c r="A26" s="1448" t="s">
        <v>1429</v>
      </c>
      <c r="B26" s="1681">
        <v>1</v>
      </c>
      <c r="C26" s="1449" t="s">
        <v>1793</v>
      </c>
      <c r="D26" s="1705">
        <v>55</v>
      </c>
      <c r="E26" s="1706">
        <v>8.75</v>
      </c>
      <c r="F26" s="1707">
        <v>11.125</v>
      </c>
      <c r="G26" s="1708">
        <v>0</v>
      </c>
      <c r="H26" s="1709">
        <v>1.75</v>
      </c>
      <c r="I26" s="1710" t="s">
        <v>113</v>
      </c>
      <c r="J26" s="1705">
        <v>0</v>
      </c>
      <c r="K26" s="1709">
        <v>5</v>
      </c>
      <c r="L26" s="1711" t="s">
        <v>113</v>
      </c>
      <c r="M26" s="1712">
        <v>7.5</v>
      </c>
      <c r="N26" s="1713">
        <v>10</v>
      </c>
      <c r="O26" s="1708">
        <v>0</v>
      </c>
      <c r="P26" s="1709">
        <v>6.75</v>
      </c>
      <c r="Q26" s="1705">
        <v>0</v>
      </c>
      <c r="R26" s="1706">
        <v>4</v>
      </c>
      <c r="S26" s="1714">
        <v>0</v>
      </c>
      <c r="T26" s="1709">
        <v>6.25</v>
      </c>
      <c r="U26" s="1705">
        <v>0</v>
      </c>
      <c r="V26" s="1709">
        <v>4.625</v>
      </c>
      <c r="W26" s="1713">
        <v>5</v>
      </c>
      <c r="X26" s="1715" t="str">
        <f t="shared" si="0"/>
        <v/>
      </c>
      <c r="Y26" s="1716" t="str">
        <f t="shared" si="1"/>
        <v/>
      </c>
      <c r="Z26" s="2665" t="s">
        <v>1806</v>
      </c>
      <c r="AA26" s="1776" t="str">
        <f t="shared" si="2"/>
        <v/>
      </c>
      <c r="AB26" s="1448" t="s">
        <v>1429</v>
      </c>
      <c r="AC26" s="1710" t="s">
        <v>35</v>
      </c>
      <c r="AD26" s="1705">
        <v>6</v>
      </c>
      <c r="AE26" s="1709">
        <v>0.375</v>
      </c>
      <c r="AF26" s="1710">
        <v>7</v>
      </c>
      <c r="AG26" s="1705">
        <v>6</v>
      </c>
      <c r="AH26" s="1709">
        <v>2.75</v>
      </c>
      <c r="AI26" s="1705">
        <v>5</v>
      </c>
      <c r="AJ26" s="1709">
        <v>6.375</v>
      </c>
      <c r="AK26" s="1747" t="str">
        <f t="shared" si="3"/>
        <v/>
      </c>
      <c r="AL26" s="1748" t="s">
        <v>35</v>
      </c>
      <c r="AM26" s="1749">
        <v>5</v>
      </c>
      <c r="AN26" s="1710">
        <v>13</v>
      </c>
      <c r="AO26" s="1713">
        <v>4</v>
      </c>
      <c r="AP26" s="1712">
        <v>1.75</v>
      </c>
      <c r="AQ26" s="1751" t="str">
        <f t="shared" si="4"/>
        <v/>
      </c>
      <c r="AR26" s="1708">
        <v>54</v>
      </c>
      <c r="AS26" s="1709">
        <v>8</v>
      </c>
      <c r="AT26" s="1752">
        <v>18.3</v>
      </c>
      <c r="AU26" s="1753" t="s">
        <v>35</v>
      </c>
      <c r="AV26" s="1714" t="str">
        <f t="shared" si="9"/>
        <v/>
      </c>
      <c r="AW26" s="1709" t="str">
        <f t="shared" si="10"/>
        <v/>
      </c>
      <c r="AX26" s="1752" t="str">
        <f t="shared" si="11"/>
        <v/>
      </c>
      <c r="AY26" s="1753" t="str">
        <f t="shared" si="12"/>
        <v/>
      </c>
      <c r="AZ26" s="1714" t="str">
        <f t="shared" si="13"/>
        <v/>
      </c>
      <c r="BA26" s="1709" t="str">
        <f t="shared" si="14"/>
        <v/>
      </c>
      <c r="BB26" s="1752" t="str">
        <f t="shared" si="15"/>
        <v/>
      </c>
      <c r="BC26" s="1753" t="str">
        <f t="shared" si="16"/>
        <v/>
      </c>
      <c r="BD26" s="1714" t="str">
        <f t="shared" si="17"/>
        <v/>
      </c>
      <c r="BE26" s="1709" t="str">
        <f t="shared" si="18"/>
        <v/>
      </c>
      <c r="BF26" s="1752" t="str">
        <f t="shared" si="19"/>
        <v/>
      </c>
      <c r="BG26" s="1753" t="str">
        <f t="shared" si="20"/>
        <v/>
      </c>
      <c r="BH26" s="1416"/>
      <c r="BJ26" s="995" t="str">
        <f t="shared" si="59"/>
        <v>G29</v>
      </c>
      <c r="BK26" s="993" t="b">
        <f t="shared" si="21"/>
        <v>0</v>
      </c>
      <c r="BL26" s="1800" t="b">
        <v>0</v>
      </c>
      <c r="BM26" s="989">
        <f t="shared" si="22"/>
        <v>52</v>
      </c>
      <c r="BN26" s="989" t="str">
        <f t="shared" si="23"/>
        <v>VG</v>
      </c>
      <c r="BO26" s="989">
        <f t="shared" si="24"/>
        <v>9</v>
      </c>
      <c r="BP26" s="989" t="str">
        <f t="shared" si="25"/>
        <v>18.3/10.8</v>
      </c>
      <c r="BQ26" s="989">
        <f t="shared" si="26"/>
        <v>0</v>
      </c>
      <c r="BR26" s="989" t="b">
        <f t="shared" si="27"/>
        <v>1</v>
      </c>
      <c r="BS26" s="1302">
        <f t="shared" si="28"/>
        <v>7.75</v>
      </c>
      <c r="BT26" s="990" t="str">
        <f t="shared" si="29"/>
        <v>Yes</v>
      </c>
      <c r="BU26" s="1302">
        <f t="shared" si="30"/>
        <v>11</v>
      </c>
      <c r="BV26" s="990" t="str">
        <f t="shared" si="31"/>
        <v>Yes</v>
      </c>
      <c r="BW26" s="991">
        <f t="shared" si="32"/>
        <v>18</v>
      </c>
      <c r="BX26" s="991" t="str">
        <f t="shared" si="33"/>
        <v>G29</v>
      </c>
      <c r="BY26" s="991" t="b">
        <f t="shared" si="34"/>
        <v>0</v>
      </c>
      <c r="BZ26" s="991" t="b">
        <f t="shared" si="52"/>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35"/>
        <v/>
      </c>
      <c r="EN26" s="1428" t="str">
        <f t="shared" si="36"/>
        <v/>
      </c>
      <c r="EO26" s="1429" t="str">
        <f t="shared" si="37"/>
        <v/>
      </c>
      <c r="EP26" s="1430" t="str">
        <f t="shared" si="38"/>
        <v/>
      </c>
      <c r="EQ26" s="1434" t="str">
        <f t="shared" si="39"/>
        <v/>
      </c>
      <c r="ER26" s="1440" t="str">
        <f t="shared" si="40"/>
        <v/>
      </c>
      <c r="ES26" s="1441" t="str">
        <f t="shared" si="41"/>
        <v/>
      </c>
      <c r="ET26" s="1442" t="str">
        <f t="shared" si="42"/>
        <v/>
      </c>
      <c r="EU26" s="1443" t="str">
        <f t="shared" si="53"/>
        <v/>
      </c>
      <c r="EX26" s="503" t="str">
        <f t="shared" si="54"/>
        <v>G29B</v>
      </c>
      <c r="EY26" s="940" t="b">
        <f t="shared" ca="1" si="43"/>
        <v>1</v>
      </c>
      <c r="EZ26" s="940">
        <f t="shared" si="55"/>
        <v>5</v>
      </c>
      <c r="FA26" s="958" t="b">
        <f t="shared" si="60"/>
        <v>1</v>
      </c>
      <c r="FB26" s="134">
        <f t="shared" si="56"/>
        <v>662</v>
      </c>
      <c r="FC26" s="134">
        <f t="shared" si="44"/>
        <v>72.375</v>
      </c>
      <c r="FD26" s="134">
        <f t="shared" si="45"/>
        <v>523.25</v>
      </c>
      <c r="FE26" s="134">
        <f t="shared" si="46"/>
        <v>66.375</v>
      </c>
      <c r="FF26" s="134">
        <f t="shared" si="57"/>
        <v>662</v>
      </c>
      <c r="FN26" s="754" t="b">
        <v>0</v>
      </c>
      <c r="FO26" s="754" t="b">
        <f t="shared" si="47"/>
        <v>1</v>
      </c>
      <c r="FP26" s="754" t="b">
        <v>0</v>
      </c>
      <c r="FQ26" s="754" t="b">
        <f t="shared" si="58"/>
        <v>1</v>
      </c>
      <c r="FW26" s="2"/>
      <c r="FX26" s="2"/>
      <c r="FZ26" s="2"/>
      <c r="GA26" s="1761">
        <v>56</v>
      </c>
      <c r="GB26" s="1762">
        <v>0</v>
      </c>
      <c r="GC26" s="1763">
        <v>-0.25</v>
      </c>
      <c r="GD26" s="1764">
        <v>-3</v>
      </c>
      <c r="GE26" s="1765">
        <f t="shared" si="48"/>
        <v>0</v>
      </c>
      <c r="GF26" s="582" t="str">
        <f t="shared" si="49"/>
        <v>G29</v>
      </c>
      <c r="GG26" s="692">
        <v>0</v>
      </c>
      <c r="GH26" s="1135">
        <v>0</v>
      </c>
      <c r="GI26" s="692"/>
      <c r="GJ26" s="1135"/>
      <c r="GK26" s="1640">
        <f t="shared" si="50"/>
        <v>668.75</v>
      </c>
      <c r="GL26" s="1640">
        <f t="shared" si="51"/>
        <v>668.75</v>
      </c>
      <c r="GM26" s="1641">
        <f>IF(ABS(GK26-GL26)&gt;='Job Info.'!$L$22,ABS(GK26-GL26),0)</f>
        <v>0</v>
      </c>
      <c r="GZ26" s="145"/>
      <c r="HA26" s="1241" t="s">
        <v>1429</v>
      </c>
      <c r="HB26" s="1242">
        <v>1</v>
      </c>
      <c r="HC26" s="1242" t="s">
        <v>1587</v>
      </c>
      <c r="HD26" s="1243">
        <v>55</v>
      </c>
      <c r="HE26" s="1244">
        <v>8.75</v>
      </c>
      <c r="HF26" s="1242">
        <v>11.125</v>
      </c>
      <c r="HG26" s="1242">
        <v>0</v>
      </c>
      <c r="HH26" s="1242">
        <v>1.75</v>
      </c>
      <c r="HI26" s="1242" t="s">
        <v>113</v>
      </c>
      <c r="HJ26" s="1242">
        <v>0</v>
      </c>
      <c r="HK26" s="1242">
        <v>5</v>
      </c>
      <c r="HL26" s="1242" t="s">
        <v>113</v>
      </c>
      <c r="HM26" s="1242">
        <v>7.5</v>
      </c>
      <c r="HN26" s="1242">
        <v>10</v>
      </c>
      <c r="HO26" s="1242">
        <v>0</v>
      </c>
      <c r="HP26" s="1242">
        <v>6.75</v>
      </c>
      <c r="HQ26" s="1242">
        <v>0</v>
      </c>
      <c r="HR26" s="1242">
        <v>4</v>
      </c>
      <c r="HS26" s="1242">
        <v>0</v>
      </c>
      <c r="HT26" s="1242">
        <v>6.25</v>
      </c>
      <c r="HU26" s="1242">
        <v>0</v>
      </c>
      <c r="HV26" s="1242">
        <v>4.625</v>
      </c>
      <c r="HW26" s="1242">
        <v>5</v>
      </c>
      <c r="HX26" s="1242" t="s">
        <v>116</v>
      </c>
      <c r="HY26" s="1246" t="s">
        <v>116</v>
      </c>
      <c r="HZ26" s="1246" t="s">
        <v>1644</v>
      </c>
      <c r="IA26" s="1246" t="s">
        <v>116</v>
      </c>
      <c r="IB26" s="1246"/>
      <c r="IC26" s="1246"/>
      <c r="ID26" s="1261"/>
      <c r="IE26" s="1241" t="s">
        <v>1429</v>
      </c>
      <c r="IF26" s="1242" t="s">
        <v>35</v>
      </c>
      <c r="IG26" s="1243">
        <v>6</v>
      </c>
      <c r="IH26" s="1244">
        <v>0.375</v>
      </c>
      <c r="II26" s="1242">
        <v>7</v>
      </c>
      <c r="IJ26" s="1243">
        <v>6</v>
      </c>
      <c r="IK26" s="1244">
        <v>2.75</v>
      </c>
      <c r="IL26" s="1242">
        <v>5</v>
      </c>
      <c r="IM26" s="1242">
        <v>6.375</v>
      </c>
      <c r="IN26" s="1242" t="s">
        <v>116</v>
      </c>
      <c r="IO26" s="1242" t="s">
        <v>35</v>
      </c>
      <c r="IP26" s="1242">
        <v>5</v>
      </c>
      <c r="IQ26" s="1242">
        <v>13</v>
      </c>
      <c r="IR26" s="1242">
        <v>4</v>
      </c>
      <c r="IS26" s="1243">
        <v>1.75</v>
      </c>
      <c r="IT26" s="1244" t="s">
        <v>116</v>
      </c>
      <c r="IU26" s="1242">
        <v>54</v>
      </c>
      <c r="IV26" s="1242">
        <v>8</v>
      </c>
      <c r="IW26" s="1243">
        <v>18.3</v>
      </c>
      <c r="IX26" s="1244" t="s">
        <v>35</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v>1</v>
      </c>
      <c r="JL26" s="1171">
        <f t="shared" ca="1" si="61"/>
        <v>1</v>
      </c>
    </row>
    <row r="27" spans="1:272" ht="12.6" customHeight="1" x14ac:dyDescent="0.25">
      <c r="A27" s="1448" t="str">
        <f t="shared" ref="A27:C45" si="65">IF(ISBLANK(CB27),"",CB27)</f>
        <v/>
      </c>
      <c r="B27" s="1681"/>
      <c r="C27" s="1449"/>
      <c r="D27" s="1705" t="str">
        <f t="shared" ref="D27:D45" si="66">IF(CV67="","",TRUNC(CV67/12))</f>
        <v/>
      </c>
      <c r="E27" s="1706" t="str">
        <f t="shared" ref="E27:E45" si="67">IF(CV67="","",CV67-(D27*12))</f>
        <v/>
      </c>
      <c r="F27" s="1707" t="str">
        <f t="shared" ref="F27:F45" si="68">IF(ISBLANK(DE27),"",DE27)</f>
        <v/>
      </c>
      <c r="G27" s="1708" t="str">
        <f t="shared" ref="G27:G45" si="69">IF(DD67=0,"",TRUNC(DD67/12))</f>
        <v/>
      </c>
      <c r="H27" s="1709" t="str">
        <f t="shared" ref="H27:H45" si="70">IF(DD67=0,"",DD67-(G27*12))</f>
        <v/>
      </c>
      <c r="I27" s="1710" t="str">
        <f t="shared" ref="I27:I45" si="71">IF(DD67=0,"",CE67)</f>
        <v/>
      </c>
      <c r="J27" s="1705" t="str">
        <f t="shared" si="62"/>
        <v/>
      </c>
      <c r="K27" s="1709" t="str">
        <f t="shared" si="63"/>
        <v/>
      </c>
      <c r="L27" s="1711" t="str">
        <f t="shared" si="64"/>
        <v/>
      </c>
      <c r="M27" s="1712" t="str">
        <f t="shared" ref="M27:N45" si="72">IF(CW67="","",CW67)</f>
        <v/>
      </c>
      <c r="N27" s="1713" t="str">
        <f t="shared" si="72"/>
        <v/>
      </c>
      <c r="O27" s="1708" t="str">
        <f t="shared" ref="O27:O45" si="73">IF(DZ67="","",IF(AND(DZ67&gt;-12,DZ67&lt;0),-0.000001,TRUNC(DZ67/12)))</f>
        <v/>
      </c>
      <c r="P27" s="1709" t="str">
        <f t="shared" ref="P27:P45" si="74">IF(DZ67="","",IF(AND(DZ67&lt;0,DZ67-(O27*12)=0),-0.00001,DZ67-(O27*12)))</f>
        <v/>
      </c>
      <c r="Q27" s="1705" t="str">
        <f t="shared" ref="Q27:Q45" si="75">IF(EA67="","",IF(AND(EA67&gt;-12,EA67&lt;0),-0.000001,TRUNC(EA67/12)))</f>
        <v/>
      </c>
      <c r="R27" s="1706" t="str">
        <f t="shared" ref="R27:R45" si="76">IF(EA67="","",IF(AND(EA67&lt;0,EA67-(Q27*12)=0),-0.00001,EA67-(Q27*12)))</f>
        <v/>
      </c>
      <c r="S27" s="1714" t="str">
        <f t="shared" ref="S27:S45" si="77">IF(DR67="","",IF(DR67="ERR",TRUNC(DQ67/12),TRUNC(DR67/12)))</f>
        <v/>
      </c>
      <c r="T27" s="1709" t="str">
        <f t="shared" ref="T27:T45" si="78">IF(DR67="","",IF(DR67="ERR",DQ67-(S27*12),DR67-(S27*12)))</f>
        <v/>
      </c>
      <c r="U27" s="1705" t="str">
        <f t="shared" ref="U27:U45" si="79">IF(DY67="","",IF(DY67="ERR",TRUNC(DX67/12),TRUNC(DY67/12)))</f>
        <v/>
      </c>
      <c r="V27" s="1709" t="str">
        <f t="shared" ref="V27:V45" si="80">IF(DY67="","",IF(DY67="ERR",DX67-(U27*12),DY67-(U27*12)))</f>
        <v/>
      </c>
      <c r="W27" s="1713">
        <f t="shared" ref="W27:W45" si="81">IF(EC67="",0,EC67)</f>
        <v>0</v>
      </c>
      <c r="X27" s="1715" t="str">
        <f t="shared" si="0"/>
        <v/>
      </c>
      <c r="Y27" s="1716" t="str">
        <f t="shared" si="1"/>
        <v/>
      </c>
      <c r="Z27" s="1717" t="s">
        <v>116</v>
      </c>
      <c r="AA27" s="1776" t="str">
        <f t="shared" si="2"/>
        <v/>
      </c>
      <c r="AB27" s="1448" t="str">
        <f t="shared" ref="AB27:AB45" si="82">IF(ISBLANK(DH27),"",DH27)</f>
        <v/>
      </c>
      <c r="AC27" s="1710" t="str">
        <f t="shared" ref="AC27:AC45" si="83">IF(ISBLANK(DI27),"",UPPER(DI27))</f>
        <v/>
      </c>
      <c r="AD27" s="1705" t="str">
        <f t="shared" ref="AD27:AD45" ca="1" si="84">IF(ISERROR(FV67),"",IF(FV67="","",TRUNC(FV67/12)))</f>
        <v/>
      </c>
      <c r="AE27" s="1709" t="str">
        <f t="shared" ref="AE27:AE45" ca="1" si="85">IF(ISERROR(FV67),"",IF(FV67="","",FV67-(AD27*12)))</f>
        <v/>
      </c>
      <c r="AF27" s="1710" t="str">
        <f t="shared" ref="AF27:AF45" ca="1" si="86">IF(ISERROR(FO67),"",IF(FO67="","",FO67))</f>
        <v/>
      </c>
      <c r="AG27" s="1705" t="str">
        <f t="shared" ref="AG27:AG45" ca="1" si="87">IF(ISERROR(FX67),"",IF(FX67="","",TRUNC(FX67/12)))</f>
        <v/>
      </c>
      <c r="AH27" s="1709" t="str">
        <f t="shared" ref="AH27:AH45" ca="1" si="88">IF(ISERROR(FX67),"",IF(FX67="","",FX67-(AG27*12)))</f>
        <v/>
      </c>
      <c r="AI27" s="1705" t="str">
        <f t="shared" ref="AI27:AI45" ca="1" si="89">IF(ISERROR(FZ67),"",IF(FZ67="","",TRUNC(FZ67/12)))</f>
        <v/>
      </c>
      <c r="AJ27" s="1709" t="str">
        <f t="shared" ref="AJ27:AJ45" ca="1" si="90">IF(ISERROR(FZ67),"",IF(FZ67="","",FZ67-(AI27*12)))</f>
        <v/>
      </c>
      <c r="AK27" s="1747" t="str">
        <f t="shared" si="3"/>
        <v/>
      </c>
      <c r="AL27" s="1748" t="str">
        <f t="shared" ref="AL27:AL45" si="91">IF(ISBLANK(DP27),"",UPPER(DP27))</f>
        <v/>
      </c>
      <c r="AM27" s="1749" t="str">
        <f t="shared" si="3"/>
        <v/>
      </c>
      <c r="AN27" s="1710" t="str">
        <f t="shared" si="3"/>
        <v/>
      </c>
      <c r="AO27" s="1713" t="str">
        <f t="shared" si="3"/>
        <v/>
      </c>
      <c r="AP27" s="1712" t="str">
        <f t="shared" si="4"/>
        <v/>
      </c>
      <c r="AQ27" s="1751" t="str">
        <f t="shared" si="4"/>
        <v/>
      </c>
      <c r="AR27" s="1708" t="str">
        <f t="shared" si="5"/>
        <v/>
      </c>
      <c r="AS27" s="1709" t="str">
        <f t="shared" si="6"/>
        <v/>
      </c>
      <c r="AT27" s="1752" t="str">
        <f t="shared" si="7"/>
        <v/>
      </c>
      <c r="AU27" s="1753" t="str">
        <f t="shared" si="8"/>
        <v/>
      </c>
      <c r="AV27" s="1714" t="str">
        <f t="shared" si="9"/>
        <v/>
      </c>
      <c r="AW27" s="1709" t="str">
        <f t="shared" si="10"/>
        <v/>
      </c>
      <c r="AX27" s="1752" t="str">
        <f t="shared" si="11"/>
        <v/>
      </c>
      <c r="AY27" s="1753" t="str">
        <f t="shared" si="12"/>
        <v/>
      </c>
      <c r="AZ27" s="1714" t="str">
        <f t="shared" si="13"/>
        <v/>
      </c>
      <c r="BA27" s="1709" t="str">
        <f t="shared" si="14"/>
        <v/>
      </c>
      <c r="BB27" s="1752" t="str">
        <f t="shared" si="15"/>
        <v/>
      </c>
      <c r="BC27" s="1753" t="str">
        <f t="shared" si="16"/>
        <v/>
      </c>
      <c r="BD27" s="1714" t="str">
        <f t="shared" si="17"/>
        <v/>
      </c>
      <c r="BE27" s="1709" t="str">
        <f t="shared" si="18"/>
        <v/>
      </c>
      <c r="BF27" s="1752" t="str">
        <f t="shared" si="19"/>
        <v/>
      </c>
      <c r="BG27" s="1753" t="str">
        <f t="shared" si="20"/>
        <v/>
      </c>
      <c r="BH27" s="1416"/>
      <c r="BJ27" s="995" t="str">
        <f t="shared" si="59"/>
        <v/>
      </c>
      <c r="BK27" s="993" t="b">
        <f t="shared" si="21"/>
        <v>0</v>
      </c>
      <c r="BL27" s="1800" t="b">
        <v>0</v>
      </c>
      <c r="BM27" s="989">
        <f t="shared" si="22"/>
        <v>0</v>
      </c>
      <c r="BN27" s="989">
        <f t="shared" si="23"/>
        <v>0</v>
      </c>
      <c r="BO27" s="989">
        <f t="shared" si="24"/>
        <v>0</v>
      </c>
      <c r="BP27" s="989">
        <f t="shared" si="25"/>
        <v>0</v>
      </c>
      <c r="BQ27" s="989">
        <f t="shared" si="26"/>
        <v>0</v>
      </c>
      <c r="BR27" s="989" t="b">
        <f t="shared" si="27"/>
        <v>1</v>
      </c>
      <c r="BS27" s="1302">
        <f t="shared" si="28"/>
        <v>6</v>
      </c>
      <c r="BT27" s="990" t="str">
        <f t="shared" si="29"/>
        <v>No</v>
      </c>
      <c r="BU27" s="1302">
        <f t="shared" si="30"/>
        <v>6</v>
      </c>
      <c r="BV27" s="990" t="str">
        <f t="shared" si="31"/>
        <v>No</v>
      </c>
      <c r="BW27" s="991">
        <f t="shared" ca="1" si="32"/>
        <v>0</v>
      </c>
      <c r="BX27" s="991" t="str">
        <f t="shared" ca="1" si="33"/>
        <v/>
      </c>
      <c r="BY27" s="991" t="b">
        <f t="shared" ca="1" si="34"/>
        <v>0</v>
      </c>
      <c r="BZ27" s="991" t="b">
        <f t="shared" si="52"/>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35"/>
        <v/>
      </c>
      <c r="EN27" s="1428" t="str">
        <f t="shared" si="36"/>
        <v/>
      </c>
      <c r="EO27" s="1429" t="str">
        <f t="shared" si="37"/>
        <v/>
      </c>
      <c r="EP27" s="1430" t="str">
        <f t="shared" si="38"/>
        <v/>
      </c>
      <c r="EQ27" s="1434" t="str">
        <f t="shared" si="39"/>
        <v/>
      </c>
      <c r="ER27" s="1440" t="str">
        <f t="shared" si="40"/>
        <v/>
      </c>
      <c r="ES27" s="1441" t="str">
        <f t="shared" si="41"/>
        <v/>
      </c>
      <c r="ET27" s="1442" t="str">
        <f t="shared" si="42"/>
        <v/>
      </c>
      <c r="EU27" s="1443" t="str">
        <f t="shared" si="53"/>
        <v/>
      </c>
      <c r="EX27" s="503" t="str">
        <f t="shared" ca="1" si="54"/>
        <v/>
      </c>
      <c r="EY27" s="940" t="str">
        <f t="shared" si="43"/>
        <v/>
      </c>
      <c r="EZ27" s="940" t="str">
        <f t="shared" si="55"/>
        <v/>
      </c>
      <c r="FA27" s="958" t="str">
        <f t="shared" ca="1" si="60"/>
        <v/>
      </c>
      <c r="FB27" s="134" t="str">
        <f t="shared" ca="1" si="56"/>
        <v/>
      </c>
      <c r="FC27" s="134">
        <f t="shared" ca="1" si="44"/>
        <v>0</v>
      </c>
      <c r="FD27" s="134">
        <f t="shared" ca="1" si="45"/>
        <v>0</v>
      </c>
      <c r="FE27" s="134">
        <f t="shared" ca="1" si="46"/>
        <v>0</v>
      </c>
      <c r="FF27" s="134">
        <f t="shared" ca="1" si="57"/>
        <v>0</v>
      </c>
      <c r="FN27" s="754" t="b">
        <v>0</v>
      </c>
      <c r="FO27" s="754" t="b">
        <f t="shared" si="47"/>
        <v>1</v>
      </c>
      <c r="FP27" s="754" t="b">
        <v>0</v>
      </c>
      <c r="FQ27" s="754" t="b">
        <f t="shared" si="58"/>
        <v>1</v>
      </c>
      <c r="FW27" s="2"/>
      <c r="FX27" s="2"/>
      <c r="FZ27" s="2"/>
      <c r="GA27" s="1761" t="str">
        <f t="shared" ref="GA27:GA45" si="92">IF(GF27="","",CE27)</f>
        <v/>
      </c>
      <c r="GB27" s="1762" t="str">
        <f t="shared" ref="GB27:GB45" si="93">IF(GF27="","",CF27)</f>
        <v/>
      </c>
      <c r="GC27" s="1763" t="str">
        <f t="shared" ref="GC27:GC45" si="94">IF(GF27="","",IF(CD67="",0,CD67))</f>
        <v/>
      </c>
      <c r="GD27" s="1764" t="str">
        <f t="shared" ref="GD27:GD45" si="95">IF(GF27="","",IF(CM67="",0,CM67))</f>
        <v/>
      </c>
      <c r="GE27" s="1765" t="str">
        <f t="shared" si="48"/>
        <v/>
      </c>
      <c r="GF27" s="582" t="str">
        <f t="shared" si="49"/>
        <v/>
      </c>
      <c r="GG27" s="692"/>
      <c r="GH27" s="1135"/>
      <c r="GI27" s="692"/>
      <c r="GJ27" s="1135"/>
      <c r="GK27" s="1640">
        <f t="shared" si="50"/>
        <v>0</v>
      </c>
      <c r="GL27" s="1640" t="e">
        <f t="shared" si="51"/>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61"/>
        <v>0</v>
      </c>
    </row>
    <row r="28" spans="1:272" ht="12.6" customHeight="1" x14ac:dyDescent="0.3">
      <c r="A28" s="1448" t="str">
        <f t="shared" si="65"/>
        <v/>
      </c>
      <c r="B28" s="1681"/>
      <c r="C28" s="1449"/>
      <c r="D28" s="1705" t="str">
        <f t="shared" si="66"/>
        <v/>
      </c>
      <c r="E28" s="1706" t="str">
        <f t="shared" si="67"/>
        <v/>
      </c>
      <c r="F28" s="1707" t="str">
        <f t="shared" si="68"/>
        <v/>
      </c>
      <c r="G28" s="1708" t="str">
        <f t="shared" si="69"/>
        <v/>
      </c>
      <c r="H28" s="1709" t="str">
        <f t="shared" si="70"/>
        <v/>
      </c>
      <c r="I28" s="1710" t="str">
        <f t="shared" si="71"/>
        <v/>
      </c>
      <c r="J28" s="1705" t="str">
        <f t="shared" si="62"/>
        <v/>
      </c>
      <c r="K28" s="1709" t="str">
        <f t="shared" si="63"/>
        <v/>
      </c>
      <c r="L28" s="1711" t="str">
        <f t="shared" si="64"/>
        <v/>
      </c>
      <c r="M28" s="1712" t="str">
        <f t="shared" si="72"/>
        <v/>
      </c>
      <c r="N28" s="1713" t="str">
        <f t="shared" si="72"/>
        <v/>
      </c>
      <c r="O28" s="1708" t="str">
        <f t="shared" si="73"/>
        <v/>
      </c>
      <c r="P28" s="1709" t="str">
        <f t="shared" si="74"/>
        <v/>
      </c>
      <c r="Q28" s="1705" t="str">
        <f t="shared" si="75"/>
        <v/>
      </c>
      <c r="R28" s="1706" t="str">
        <f t="shared" si="76"/>
        <v/>
      </c>
      <c r="S28" s="1714" t="str">
        <f t="shared" si="77"/>
        <v/>
      </c>
      <c r="T28" s="1709" t="str">
        <f t="shared" si="78"/>
        <v/>
      </c>
      <c r="U28" s="1705" t="str">
        <f t="shared" si="79"/>
        <v/>
      </c>
      <c r="V28" s="1709" t="str">
        <f t="shared" si="80"/>
        <v/>
      </c>
      <c r="W28" s="1713">
        <f t="shared" si="81"/>
        <v>0</v>
      </c>
      <c r="X28" s="1715" t="str">
        <f t="shared" si="0"/>
        <v/>
      </c>
      <c r="Y28" s="1716" t="str">
        <f t="shared" si="1"/>
        <v/>
      </c>
      <c r="Z28" s="1717" t="s">
        <v>116</v>
      </c>
      <c r="AA28" s="1776" t="str">
        <f t="shared" si="2"/>
        <v/>
      </c>
      <c r="AB28" s="1448" t="str">
        <f t="shared" si="82"/>
        <v/>
      </c>
      <c r="AC28" s="1710" t="str">
        <f t="shared" si="83"/>
        <v/>
      </c>
      <c r="AD28" s="1705" t="str">
        <f t="shared" ca="1" si="84"/>
        <v/>
      </c>
      <c r="AE28" s="1709" t="str">
        <f t="shared" ca="1" si="85"/>
        <v/>
      </c>
      <c r="AF28" s="1710" t="str">
        <f t="shared" ca="1" si="86"/>
        <v/>
      </c>
      <c r="AG28" s="1705" t="str">
        <f t="shared" ca="1" si="87"/>
        <v/>
      </c>
      <c r="AH28" s="1709" t="str">
        <f t="shared" ca="1" si="88"/>
        <v/>
      </c>
      <c r="AI28" s="1705" t="str">
        <f t="shared" ca="1" si="89"/>
        <v/>
      </c>
      <c r="AJ28" s="1709" t="str">
        <f t="shared" ca="1" si="90"/>
        <v/>
      </c>
      <c r="AK28" s="1747" t="str">
        <f t="shared" si="3"/>
        <v/>
      </c>
      <c r="AL28" s="1748" t="str">
        <f t="shared" si="91"/>
        <v/>
      </c>
      <c r="AM28" s="1749" t="str">
        <f t="shared" si="3"/>
        <v/>
      </c>
      <c r="AN28" s="1710" t="str">
        <f t="shared" si="3"/>
        <v/>
      </c>
      <c r="AO28" s="1713" t="str">
        <f t="shared" si="3"/>
        <v/>
      </c>
      <c r="AP28" s="1712" t="str">
        <f t="shared" si="4"/>
        <v/>
      </c>
      <c r="AQ28" s="1751" t="str">
        <f t="shared" si="4"/>
        <v/>
      </c>
      <c r="AR28" s="1708" t="str">
        <f t="shared" si="5"/>
        <v/>
      </c>
      <c r="AS28" s="1709" t="str">
        <f t="shared" si="6"/>
        <v/>
      </c>
      <c r="AT28" s="1752" t="str">
        <f t="shared" si="7"/>
        <v/>
      </c>
      <c r="AU28" s="1753" t="str">
        <f t="shared" si="8"/>
        <v/>
      </c>
      <c r="AV28" s="1714" t="str">
        <f t="shared" si="9"/>
        <v/>
      </c>
      <c r="AW28" s="1709" t="str">
        <f t="shared" si="10"/>
        <v/>
      </c>
      <c r="AX28" s="1752" t="str">
        <f t="shared" si="11"/>
        <v/>
      </c>
      <c r="AY28" s="1753" t="str">
        <f t="shared" si="12"/>
        <v/>
      </c>
      <c r="AZ28" s="1714" t="str">
        <f t="shared" si="13"/>
        <v/>
      </c>
      <c r="BA28" s="1709" t="str">
        <f t="shared" si="14"/>
        <v/>
      </c>
      <c r="BB28" s="1752" t="str">
        <f t="shared" si="15"/>
        <v/>
      </c>
      <c r="BC28" s="1753" t="str">
        <f t="shared" si="16"/>
        <v/>
      </c>
      <c r="BD28" s="1714" t="str">
        <f t="shared" si="17"/>
        <v/>
      </c>
      <c r="BE28" s="1709" t="str">
        <f t="shared" si="18"/>
        <v/>
      </c>
      <c r="BF28" s="1752" t="str">
        <f t="shared" si="19"/>
        <v/>
      </c>
      <c r="BG28" s="1753" t="str">
        <f t="shared" si="20"/>
        <v/>
      </c>
      <c r="BH28" s="1416"/>
      <c r="BJ28" s="995" t="str">
        <f t="shared" si="59"/>
        <v/>
      </c>
      <c r="BK28" s="993" t="b">
        <f t="shared" si="21"/>
        <v>0</v>
      </c>
      <c r="BL28" s="1800" t="b">
        <v>0</v>
      </c>
      <c r="BM28" s="989">
        <f t="shared" si="22"/>
        <v>0</v>
      </c>
      <c r="BN28" s="989">
        <f t="shared" si="23"/>
        <v>0</v>
      </c>
      <c r="BO28" s="989">
        <f t="shared" si="24"/>
        <v>0</v>
      </c>
      <c r="BP28" s="989">
        <f t="shared" si="25"/>
        <v>0</v>
      </c>
      <c r="BQ28" s="989">
        <f t="shared" si="26"/>
        <v>0</v>
      </c>
      <c r="BR28" s="989" t="b">
        <f t="shared" si="27"/>
        <v>1</v>
      </c>
      <c r="BS28" s="1302">
        <f t="shared" si="28"/>
        <v>6</v>
      </c>
      <c r="BT28" s="990" t="str">
        <f t="shared" si="29"/>
        <v>No</v>
      </c>
      <c r="BU28" s="1302">
        <f t="shared" si="30"/>
        <v>6</v>
      </c>
      <c r="BV28" s="990" t="str">
        <f t="shared" si="31"/>
        <v>No</v>
      </c>
      <c r="BW28" s="991">
        <f t="shared" ca="1" si="32"/>
        <v>0</v>
      </c>
      <c r="BX28" s="991" t="str">
        <f t="shared" ca="1" si="33"/>
        <v/>
      </c>
      <c r="BY28" s="991" t="b">
        <f t="shared" ca="1" si="34"/>
        <v>0</v>
      </c>
      <c r="BZ28" s="991" t="b">
        <f t="shared" si="52"/>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35"/>
        <v/>
      </c>
      <c r="EN28" s="1428" t="str">
        <f t="shared" si="36"/>
        <v/>
      </c>
      <c r="EO28" s="1429" t="str">
        <f t="shared" si="37"/>
        <v/>
      </c>
      <c r="EP28" s="1430" t="str">
        <f t="shared" si="38"/>
        <v/>
      </c>
      <c r="EQ28" s="1434" t="str">
        <f t="shared" si="39"/>
        <v/>
      </c>
      <c r="ER28" s="1440" t="str">
        <f t="shared" si="40"/>
        <v/>
      </c>
      <c r="ES28" s="1441" t="str">
        <f t="shared" si="41"/>
        <v/>
      </c>
      <c r="ET28" s="1442" t="str">
        <f t="shared" si="42"/>
        <v/>
      </c>
      <c r="EU28" s="1443" t="str">
        <f t="shared" si="53"/>
        <v/>
      </c>
      <c r="EX28" s="503" t="str">
        <f t="shared" ca="1" si="54"/>
        <v/>
      </c>
      <c r="EY28" s="940" t="str">
        <f t="shared" si="43"/>
        <v/>
      </c>
      <c r="EZ28" s="940" t="str">
        <f t="shared" si="55"/>
        <v/>
      </c>
      <c r="FA28" s="958" t="str">
        <f t="shared" ca="1" si="60"/>
        <v/>
      </c>
      <c r="FB28" s="134" t="str">
        <f t="shared" ca="1" si="56"/>
        <v/>
      </c>
      <c r="FC28" s="134">
        <f t="shared" ca="1" si="44"/>
        <v>0</v>
      </c>
      <c r="FD28" s="134">
        <f t="shared" ca="1" si="45"/>
        <v>0</v>
      </c>
      <c r="FE28" s="134">
        <f t="shared" ca="1" si="46"/>
        <v>0</v>
      </c>
      <c r="FF28" s="134">
        <f t="shared" ca="1" si="57"/>
        <v>0</v>
      </c>
      <c r="FN28" s="754" t="b">
        <v>0</v>
      </c>
      <c r="FO28" s="754" t="b">
        <f t="shared" si="47"/>
        <v>1</v>
      </c>
      <c r="FP28" s="754" t="b">
        <v>0</v>
      </c>
      <c r="FQ28" s="754" t="b">
        <f t="shared" si="58"/>
        <v>1</v>
      </c>
      <c r="FW28" s="2"/>
      <c r="FX28" s="2"/>
      <c r="FZ28" s="2"/>
      <c r="GA28" s="1761" t="str">
        <f t="shared" si="92"/>
        <v/>
      </c>
      <c r="GB28" s="1762" t="str">
        <f t="shared" si="93"/>
        <v/>
      </c>
      <c r="GC28" s="1763" t="str">
        <f t="shared" si="94"/>
        <v/>
      </c>
      <c r="GD28" s="1764" t="str">
        <f t="shared" si="95"/>
        <v/>
      </c>
      <c r="GE28" s="1765" t="str">
        <f t="shared" si="48"/>
        <v/>
      </c>
      <c r="GF28" s="582" t="str">
        <f t="shared" si="49"/>
        <v/>
      </c>
      <c r="GG28" s="692"/>
      <c r="GH28" s="1135"/>
      <c r="GI28" s="692"/>
      <c r="GJ28" s="1135"/>
      <c r="GK28" s="1640">
        <f t="shared" si="50"/>
        <v>0</v>
      </c>
      <c r="GL28" s="1640" t="e">
        <f t="shared" si="51"/>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61"/>
        <v>0</v>
      </c>
    </row>
    <row r="29" spans="1:272" ht="12.6" customHeight="1" x14ac:dyDescent="0.25">
      <c r="A29" s="1448" t="str">
        <f t="shared" si="65"/>
        <v/>
      </c>
      <c r="B29" s="1681"/>
      <c r="C29" s="1449"/>
      <c r="D29" s="1705" t="str">
        <f t="shared" si="66"/>
        <v/>
      </c>
      <c r="E29" s="1706" t="str">
        <f t="shared" si="67"/>
        <v/>
      </c>
      <c r="F29" s="1707" t="str">
        <f t="shared" si="68"/>
        <v/>
      </c>
      <c r="G29" s="1708" t="str">
        <f t="shared" si="69"/>
        <v/>
      </c>
      <c r="H29" s="1709" t="str">
        <f t="shared" si="70"/>
        <v/>
      </c>
      <c r="I29" s="1710" t="str">
        <f t="shared" si="71"/>
        <v/>
      </c>
      <c r="J29" s="1705" t="str">
        <f t="shared" si="62"/>
        <v/>
      </c>
      <c r="K29" s="1709" t="str">
        <f t="shared" si="63"/>
        <v/>
      </c>
      <c r="L29" s="1711" t="str">
        <f t="shared" si="64"/>
        <v/>
      </c>
      <c r="M29" s="1712" t="str">
        <f t="shared" si="72"/>
        <v/>
      </c>
      <c r="N29" s="1713" t="str">
        <f t="shared" si="72"/>
        <v/>
      </c>
      <c r="O29" s="1708" t="str">
        <f t="shared" si="73"/>
        <v/>
      </c>
      <c r="P29" s="1709" t="str">
        <f t="shared" si="74"/>
        <v/>
      </c>
      <c r="Q29" s="1705" t="str">
        <f t="shared" si="75"/>
        <v/>
      </c>
      <c r="R29" s="1706" t="str">
        <f t="shared" si="76"/>
        <v/>
      </c>
      <c r="S29" s="1714" t="str">
        <f t="shared" si="77"/>
        <v/>
      </c>
      <c r="T29" s="1709" t="str">
        <f t="shared" si="78"/>
        <v/>
      </c>
      <c r="U29" s="1705" t="str">
        <f t="shared" si="79"/>
        <v/>
      </c>
      <c r="V29" s="1709" t="str">
        <f t="shared" si="80"/>
        <v/>
      </c>
      <c r="W29" s="1713">
        <f t="shared" si="81"/>
        <v>0</v>
      </c>
      <c r="X29" s="1715" t="str">
        <f t="shared" si="0"/>
        <v/>
      </c>
      <c r="Y29" s="1716" t="str">
        <f t="shared" si="1"/>
        <v/>
      </c>
      <c r="Z29" s="1717" t="s">
        <v>116</v>
      </c>
      <c r="AA29" s="1776" t="str">
        <f t="shared" si="2"/>
        <v/>
      </c>
      <c r="AB29" s="1448" t="str">
        <f t="shared" si="82"/>
        <v/>
      </c>
      <c r="AC29" s="1710" t="str">
        <f t="shared" si="83"/>
        <v/>
      </c>
      <c r="AD29" s="1705" t="str">
        <f t="shared" ca="1" si="84"/>
        <v/>
      </c>
      <c r="AE29" s="1709" t="str">
        <f t="shared" ca="1" si="85"/>
        <v/>
      </c>
      <c r="AF29" s="1710" t="str">
        <f t="shared" ca="1" si="86"/>
        <v/>
      </c>
      <c r="AG29" s="1705" t="str">
        <f t="shared" ca="1" si="87"/>
        <v/>
      </c>
      <c r="AH29" s="1709" t="str">
        <f t="shared" ca="1" si="88"/>
        <v/>
      </c>
      <c r="AI29" s="1705" t="str">
        <f t="shared" ca="1" si="89"/>
        <v/>
      </c>
      <c r="AJ29" s="1709" t="str">
        <f t="shared" ca="1" si="90"/>
        <v/>
      </c>
      <c r="AK29" s="1747" t="str">
        <f t="shared" si="3"/>
        <v/>
      </c>
      <c r="AL29" s="1748" t="str">
        <f t="shared" si="91"/>
        <v/>
      </c>
      <c r="AM29" s="1749" t="str">
        <f t="shared" si="3"/>
        <v/>
      </c>
      <c r="AN29" s="1710" t="str">
        <f t="shared" si="3"/>
        <v/>
      </c>
      <c r="AO29" s="1713" t="str">
        <f t="shared" si="3"/>
        <v/>
      </c>
      <c r="AP29" s="1712" t="str">
        <f t="shared" si="4"/>
        <v/>
      </c>
      <c r="AQ29" s="1751" t="str">
        <f t="shared" si="4"/>
        <v/>
      </c>
      <c r="AR29" s="1708" t="str">
        <f t="shared" si="5"/>
        <v/>
      </c>
      <c r="AS29" s="1709" t="str">
        <f t="shared" si="6"/>
        <v/>
      </c>
      <c r="AT29" s="1752" t="str">
        <f t="shared" si="7"/>
        <v/>
      </c>
      <c r="AU29" s="1753" t="str">
        <f t="shared" si="8"/>
        <v/>
      </c>
      <c r="AV29" s="1714" t="str">
        <f t="shared" si="9"/>
        <v/>
      </c>
      <c r="AW29" s="1709" t="str">
        <f t="shared" si="10"/>
        <v/>
      </c>
      <c r="AX29" s="1752" t="str">
        <f t="shared" si="11"/>
        <v/>
      </c>
      <c r="AY29" s="1753" t="str">
        <f t="shared" si="12"/>
        <v/>
      </c>
      <c r="AZ29" s="1714" t="str">
        <f t="shared" si="13"/>
        <v/>
      </c>
      <c r="BA29" s="1709" t="str">
        <f t="shared" si="14"/>
        <v/>
      </c>
      <c r="BB29" s="1752" t="str">
        <f t="shared" si="15"/>
        <v/>
      </c>
      <c r="BC29" s="1753" t="str">
        <f t="shared" si="16"/>
        <v/>
      </c>
      <c r="BD29" s="1714" t="str">
        <f t="shared" si="17"/>
        <v/>
      </c>
      <c r="BE29" s="1709" t="str">
        <f t="shared" si="18"/>
        <v/>
      </c>
      <c r="BF29" s="1752" t="str">
        <f t="shared" si="19"/>
        <v/>
      </c>
      <c r="BG29" s="1753" t="str">
        <f t="shared" si="20"/>
        <v/>
      </c>
      <c r="BH29" s="1416"/>
      <c r="BJ29" s="995" t="str">
        <f t="shared" si="59"/>
        <v/>
      </c>
      <c r="BK29" s="993" t="b">
        <f t="shared" si="21"/>
        <v>0</v>
      </c>
      <c r="BL29" s="1800" t="b">
        <v>0</v>
      </c>
      <c r="BM29" s="989">
        <f t="shared" si="22"/>
        <v>0</v>
      </c>
      <c r="BN29" s="989">
        <f t="shared" si="23"/>
        <v>0</v>
      </c>
      <c r="BO29" s="989">
        <f t="shared" si="24"/>
        <v>0</v>
      </c>
      <c r="BP29" s="989">
        <f t="shared" si="25"/>
        <v>0</v>
      </c>
      <c r="BQ29" s="989">
        <f t="shared" si="26"/>
        <v>0</v>
      </c>
      <c r="BR29" s="989" t="b">
        <f t="shared" si="27"/>
        <v>1</v>
      </c>
      <c r="BS29" s="1302">
        <f t="shared" si="28"/>
        <v>6</v>
      </c>
      <c r="BT29" s="990" t="str">
        <f t="shared" si="29"/>
        <v>No</v>
      </c>
      <c r="BU29" s="1302">
        <f t="shared" si="30"/>
        <v>6</v>
      </c>
      <c r="BV29" s="990" t="str">
        <f t="shared" si="31"/>
        <v>No</v>
      </c>
      <c r="BW29" s="991">
        <f t="shared" ca="1" si="32"/>
        <v>0</v>
      </c>
      <c r="BX29" s="991" t="str">
        <f t="shared" ca="1" si="33"/>
        <v/>
      </c>
      <c r="BY29" s="991" t="b">
        <f t="shared" ca="1" si="34"/>
        <v>0</v>
      </c>
      <c r="BZ29" s="991" t="b">
        <f t="shared" si="52"/>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35"/>
        <v/>
      </c>
      <c r="EN29" s="1428" t="str">
        <f t="shared" si="36"/>
        <v/>
      </c>
      <c r="EO29" s="1429" t="str">
        <f t="shared" si="37"/>
        <v/>
      </c>
      <c r="EP29" s="1430" t="str">
        <f t="shared" si="38"/>
        <v/>
      </c>
      <c r="EQ29" s="1434" t="str">
        <f t="shared" si="39"/>
        <v/>
      </c>
      <c r="ER29" s="1440" t="str">
        <f t="shared" si="40"/>
        <v/>
      </c>
      <c r="ES29" s="1441" t="str">
        <f t="shared" si="41"/>
        <v/>
      </c>
      <c r="ET29" s="1442" t="str">
        <f t="shared" si="42"/>
        <v/>
      </c>
      <c r="EU29" s="1443" t="str">
        <f t="shared" si="53"/>
        <v/>
      </c>
      <c r="EX29" s="503" t="str">
        <f t="shared" ca="1" si="54"/>
        <v/>
      </c>
      <c r="EY29" s="940" t="str">
        <f t="shared" si="43"/>
        <v/>
      </c>
      <c r="EZ29" s="940" t="str">
        <f t="shared" si="55"/>
        <v/>
      </c>
      <c r="FA29" s="958" t="str">
        <f t="shared" ca="1" si="60"/>
        <v/>
      </c>
      <c r="FB29" s="134" t="str">
        <f t="shared" ca="1" si="56"/>
        <v/>
      </c>
      <c r="FC29" s="134">
        <f t="shared" ca="1" si="44"/>
        <v>0</v>
      </c>
      <c r="FD29" s="134">
        <f t="shared" ca="1" si="45"/>
        <v>0</v>
      </c>
      <c r="FE29" s="134">
        <f t="shared" ca="1" si="46"/>
        <v>0</v>
      </c>
      <c r="FF29" s="134">
        <f t="shared" ca="1" si="57"/>
        <v>0</v>
      </c>
      <c r="FN29" s="754" t="b">
        <v>0</v>
      </c>
      <c r="FO29" s="754" t="b">
        <f t="shared" si="47"/>
        <v>1</v>
      </c>
      <c r="FP29" s="754" t="b">
        <v>0</v>
      </c>
      <c r="FQ29" s="754" t="b">
        <f t="shared" si="58"/>
        <v>1</v>
      </c>
      <c r="FW29" s="2"/>
      <c r="FX29" s="2"/>
      <c r="FZ29" s="2"/>
      <c r="GA29" s="1761" t="str">
        <f t="shared" si="92"/>
        <v/>
      </c>
      <c r="GB29" s="1762" t="str">
        <f t="shared" si="93"/>
        <v/>
      </c>
      <c r="GC29" s="1763" t="str">
        <f t="shared" si="94"/>
        <v/>
      </c>
      <c r="GD29" s="1764" t="str">
        <f t="shared" si="95"/>
        <v/>
      </c>
      <c r="GE29" s="1765" t="str">
        <f t="shared" si="48"/>
        <v/>
      </c>
      <c r="GF29" s="582" t="str">
        <f t="shared" si="49"/>
        <v/>
      </c>
      <c r="GG29" s="692"/>
      <c r="GH29" s="1135"/>
      <c r="GI29" s="692"/>
      <c r="GJ29" s="1135"/>
      <c r="GK29" s="1640">
        <f t="shared" si="50"/>
        <v>0</v>
      </c>
      <c r="GL29" s="1640" t="e">
        <f t="shared" si="51"/>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61"/>
        <v>0</v>
      </c>
    </row>
    <row r="30" spans="1:272" s="145" customFormat="1" ht="12.6" customHeight="1" x14ac:dyDescent="0.25">
      <c r="A30" s="1448" t="str">
        <f t="shared" si="65"/>
        <v/>
      </c>
      <c r="B30" s="1681"/>
      <c r="C30" s="1449"/>
      <c r="D30" s="1705" t="str">
        <f t="shared" si="66"/>
        <v/>
      </c>
      <c r="E30" s="1706" t="str">
        <f t="shared" si="67"/>
        <v/>
      </c>
      <c r="F30" s="1707" t="str">
        <f t="shared" si="68"/>
        <v/>
      </c>
      <c r="G30" s="1708" t="str">
        <f t="shared" si="69"/>
        <v/>
      </c>
      <c r="H30" s="1709" t="str">
        <f t="shared" si="70"/>
        <v/>
      </c>
      <c r="I30" s="1710" t="str">
        <f t="shared" si="71"/>
        <v/>
      </c>
      <c r="J30" s="1705" t="str">
        <f t="shared" si="62"/>
        <v/>
      </c>
      <c r="K30" s="1709" t="str">
        <f t="shared" si="63"/>
        <v/>
      </c>
      <c r="L30" s="1711" t="str">
        <f t="shared" si="64"/>
        <v/>
      </c>
      <c r="M30" s="1712" t="str">
        <f t="shared" si="72"/>
        <v/>
      </c>
      <c r="N30" s="1713" t="str">
        <f t="shared" si="72"/>
        <v/>
      </c>
      <c r="O30" s="1708" t="str">
        <f t="shared" si="73"/>
        <v/>
      </c>
      <c r="P30" s="1709" t="str">
        <f t="shared" si="74"/>
        <v/>
      </c>
      <c r="Q30" s="1705" t="str">
        <f t="shared" si="75"/>
        <v/>
      </c>
      <c r="R30" s="1706" t="str">
        <f t="shared" si="76"/>
        <v/>
      </c>
      <c r="S30" s="1714" t="str">
        <f t="shared" si="77"/>
        <v/>
      </c>
      <c r="T30" s="1709" t="str">
        <f t="shared" si="78"/>
        <v/>
      </c>
      <c r="U30" s="1705" t="str">
        <f t="shared" si="79"/>
        <v/>
      </c>
      <c r="V30" s="1709" t="str">
        <f t="shared" si="80"/>
        <v/>
      </c>
      <c r="W30" s="1713">
        <f t="shared" si="81"/>
        <v>0</v>
      </c>
      <c r="X30" s="1715" t="str">
        <f t="shared" si="0"/>
        <v/>
      </c>
      <c r="Y30" s="1716" t="str">
        <f t="shared" si="1"/>
        <v/>
      </c>
      <c r="Z30" s="1717" t="s">
        <v>116</v>
      </c>
      <c r="AA30" s="1776" t="str">
        <f t="shared" si="2"/>
        <v/>
      </c>
      <c r="AB30" s="1448" t="str">
        <f t="shared" si="82"/>
        <v/>
      </c>
      <c r="AC30" s="1710" t="str">
        <f t="shared" si="83"/>
        <v/>
      </c>
      <c r="AD30" s="1705" t="str">
        <f t="shared" ca="1" si="84"/>
        <v/>
      </c>
      <c r="AE30" s="1709" t="str">
        <f t="shared" ca="1" si="85"/>
        <v/>
      </c>
      <c r="AF30" s="1710" t="str">
        <f t="shared" ca="1" si="86"/>
        <v/>
      </c>
      <c r="AG30" s="1705" t="str">
        <f t="shared" ca="1" si="87"/>
        <v/>
      </c>
      <c r="AH30" s="1709" t="str">
        <f t="shared" ca="1" si="88"/>
        <v/>
      </c>
      <c r="AI30" s="1705" t="str">
        <f t="shared" ca="1" si="89"/>
        <v/>
      </c>
      <c r="AJ30" s="1709" t="str">
        <f t="shared" ca="1" si="90"/>
        <v/>
      </c>
      <c r="AK30" s="1747" t="str">
        <f t="shared" si="3"/>
        <v/>
      </c>
      <c r="AL30" s="1748" t="str">
        <f t="shared" si="91"/>
        <v/>
      </c>
      <c r="AM30" s="1749" t="str">
        <f t="shared" si="3"/>
        <v/>
      </c>
      <c r="AN30" s="1710" t="str">
        <f t="shared" si="3"/>
        <v/>
      </c>
      <c r="AO30" s="1713" t="str">
        <f t="shared" si="3"/>
        <v/>
      </c>
      <c r="AP30" s="1712" t="str">
        <f t="shared" si="4"/>
        <v/>
      </c>
      <c r="AQ30" s="1751" t="str">
        <f t="shared" si="4"/>
        <v/>
      </c>
      <c r="AR30" s="1708" t="str">
        <f t="shared" si="5"/>
        <v/>
      </c>
      <c r="AS30" s="1709" t="str">
        <f t="shared" si="6"/>
        <v/>
      </c>
      <c r="AT30" s="1752" t="str">
        <f t="shared" si="7"/>
        <v/>
      </c>
      <c r="AU30" s="1753" t="str">
        <f t="shared" si="8"/>
        <v/>
      </c>
      <c r="AV30" s="1714" t="str">
        <f t="shared" si="9"/>
        <v/>
      </c>
      <c r="AW30" s="1709" t="str">
        <f t="shared" si="10"/>
        <v/>
      </c>
      <c r="AX30" s="1752" t="str">
        <f t="shared" si="11"/>
        <v/>
      </c>
      <c r="AY30" s="1753" t="str">
        <f t="shared" si="12"/>
        <v/>
      </c>
      <c r="AZ30" s="1714" t="str">
        <f t="shared" si="13"/>
        <v/>
      </c>
      <c r="BA30" s="1709" t="str">
        <f t="shared" si="14"/>
        <v/>
      </c>
      <c r="BB30" s="1752" t="str">
        <f t="shared" si="15"/>
        <v/>
      </c>
      <c r="BC30" s="1753" t="str">
        <f t="shared" si="16"/>
        <v/>
      </c>
      <c r="BD30" s="1714" t="str">
        <f t="shared" si="17"/>
        <v/>
      </c>
      <c r="BE30" s="1709" t="str">
        <f t="shared" si="18"/>
        <v/>
      </c>
      <c r="BF30" s="1752" t="str">
        <f t="shared" si="19"/>
        <v/>
      </c>
      <c r="BG30" s="1753" t="str">
        <f t="shared" si="20"/>
        <v/>
      </c>
      <c r="BH30" s="1416"/>
      <c r="BJ30" s="995" t="str">
        <f t="shared" si="59"/>
        <v/>
      </c>
      <c r="BK30" s="993" t="b">
        <f t="shared" si="21"/>
        <v>0</v>
      </c>
      <c r="BL30" s="1800" t="b">
        <v>0</v>
      </c>
      <c r="BM30" s="989">
        <f t="shared" si="22"/>
        <v>0</v>
      </c>
      <c r="BN30" s="989">
        <f t="shared" si="23"/>
        <v>0</v>
      </c>
      <c r="BO30" s="989">
        <f t="shared" si="24"/>
        <v>0</v>
      </c>
      <c r="BP30" s="989">
        <f t="shared" si="25"/>
        <v>0</v>
      </c>
      <c r="BQ30" s="989">
        <f t="shared" si="26"/>
        <v>0</v>
      </c>
      <c r="BR30" s="989" t="b">
        <f t="shared" si="27"/>
        <v>1</v>
      </c>
      <c r="BS30" s="1302">
        <f t="shared" si="28"/>
        <v>6</v>
      </c>
      <c r="BT30" s="990" t="str">
        <f t="shared" si="29"/>
        <v>No</v>
      </c>
      <c r="BU30" s="1302">
        <f t="shared" si="30"/>
        <v>6</v>
      </c>
      <c r="BV30" s="990" t="str">
        <f t="shared" si="31"/>
        <v>No</v>
      </c>
      <c r="BW30" s="991">
        <f t="shared" ca="1" si="32"/>
        <v>0</v>
      </c>
      <c r="BX30" s="991" t="str">
        <f t="shared" ca="1" si="33"/>
        <v/>
      </c>
      <c r="BY30" s="991" t="b">
        <f t="shared" ca="1" si="34"/>
        <v>0</v>
      </c>
      <c r="BZ30" s="991" t="b">
        <f t="shared" si="52"/>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35"/>
        <v/>
      </c>
      <c r="EN30" s="1428" t="str">
        <f t="shared" si="36"/>
        <v/>
      </c>
      <c r="EO30" s="1429" t="str">
        <f t="shared" si="37"/>
        <v/>
      </c>
      <c r="EP30" s="1430" t="str">
        <f t="shared" si="38"/>
        <v/>
      </c>
      <c r="EQ30" s="1434" t="str">
        <f t="shared" si="39"/>
        <v/>
      </c>
      <c r="ER30" s="1440" t="str">
        <f t="shared" si="40"/>
        <v/>
      </c>
      <c r="ES30" s="1441" t="str">
        <f t="shared" si="41"/>
        <v/>
      </c>
      <c r="ET30" s="1442" t="str">
        <f t="shared" si="42"/>
        <v/>
      </c>
      <c r="EU30" s="1443" t="str">
        <f t="shared" si="53"/>
        <v/>
      </c>
      <c r="EX30" s="503" t="str">
        <f t="shared" ca="1" si="54"/>
        <v/>
      </c>
      <c r="EY30" s="940" t="str">
        <f t="shared" si="43"/>
        <v/>
      </c>
      <c r="EZ30" s="940" t="str">
        <f t="shared" si="55"/>
        <v/>
      </c>
      <c r="FA30" s="958" t="str">
        <f t="shared" ca="1" si="60"/>
        <v/>
      </c>
      <c r="FB30" s="134" t="str">
        <f t="shared" ca="1" si="56"/>
        <v/>
      </c>
      <c r="FC30" s="134">
        <f t="shared" ca="1" si="44"/>
        <v>0</v>
      </c>
      <c r="FD30" s="134">
        <f t="shared" ca="1" si="45"/>
        <v>0</v>
      </c>
      <c r="FE30" s="134">
        <f t="shared" ca="1" si="46"/>
        <v>0</v>
      </c>
      <c r="FF30" s="134">
        <f t="shared" ca="1" si="57"/>
        <v>0</v>
      </c>
      <c r="FN30" s="754" t="b">
        <v>0</v>
      </c>
      <c r="FO30" s="755" t="b">
        <f t="shared" si="47"/>
        <v>1</v>
      </c>
      <c r="FP30" s="755" t="b">
        <v>0</v>
      </c>
      <c r="FQ30" s="755" t="b">
        <f t="shared" si="58"/>
        <v>1</v>
      </c>
      <c r="FW30" s="2"/>
      <c r="FX30" s="2"/>
      <c r="FZ30" s="2"/>
      <c r="GA30" s="1761" t="str">
        <f t="shared" si="92"/>
        <v/>
      </c>
      <c r="GB30" s="1762" t="str">
        <f t="shared" si="93"/>
        <v/>
      </c>
      <c r="GC30" s="1763" t="str">
        <f t="shared" si="94"/>
        <v/>
      </c>
      <c r="GD30" s="1764" t="str">
        <f t="shared" si="95"/>
        <v/>
      </c>
      <c r="GE30" s="1765" t="str">
        <f t="shared" si="48"/>
        <v/>
      </c>
      <c r="GF30" s="582" t="str">
        <f t="shared" si="49"/>
        <v/>
      </c>
      <c r="GG30" s="692"/>
      <c r="GH30" s="1135"/>
      <c r="GI30" s="692"/>
      <c r="GJ30" s="1135"/>
      <c r="GK30" s="1640">
        <f t="shared" si="50"/>
        <v>0</v>
      </c>
      <c r="GL30" s="1640" t="e">
        <f t="shared" si="51"/>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61"/>
        <v>0</v>
      </c>
    </row>
    <row r="31" spans="1:272" s="145" customFormat="1" ht="12.6" customHeight="1" x14ac:dyDescent="0.25">
      <c r="A31" s="1448" t="str">
        <f t="shared" si="65"/>
        <v/>
      </c>
      <c r="B31" s="1681"/>
      <c r="C31" s="1449"/>
      <c r="D31" s="1705" t="str">
        <f t="shared" si="66"/>
        <v/>
      </c>
      <c r="E31" s="1706" t="str">
        <f t="shared" si="67"/>
        <v/>
      </c>
      <c r="F31" s="1707" t="str">
        <f t="shared" si="68"/>
        <v/>
      </c>
      <c r="G31" s="1708" t="str">
        <f t="shared" si="69"/>
        <v/>
      </c>
      <c r="H31" s="1709" t="str">
        <f t="shared" si="70"/>
        <v/>
      </c>
      <c r="I31" s="1710" t="str">
        <f t="shared" si="71"/>
        <v/>
      </c>
      <c r="J31" s="1705" t="str">
        <f t="shared" si="62"/>
        <v/>
      </c>
      <c r="K31" s="1709" t="str">
        <f t="shared" si="63"/>
        <v/>
      </c>
      <c r="L31" s="1711" t="str">
        <f t="shared" si="64"/>
        <v/>
      </c>
      <c r="M31" s="1712" t="str">
        <f t="shared" si="72"/>
        <v/>
      </c>
      <c r="N31" s="1713" t="str">
        <f t="shared" si="72"/>
        <v/>
      </c>
      <c r="O31" s="1708" t="str">
        <f t="shared" si="73"/>
        <v/>
      </c>
      <c r="P31" s="1709" t="str">
        <f t="shared" si="74"/>
        <v/>
      </c>
      <c r="Q31" s="1705" t="str">
        <f t="shared" si="75"/>
        <v/>
      </c>
      <c r="R31" s="1706" t="str">
        <f t="shared" si="76"/>
        <v/>
      </c>
      <c r="S31" s="1714" t="str">
        <f t="shared" si="77"/>
        <v/>
      </c>
      <c r="T31" s="1709" t="str">
        <f t="shared" si="78"/>
        <v/>
      </c>
      <c r="U31" s="1705" t="str">
        <f t="shared" si="79"/>
        <v/>
      </c>
      <c r="V31" s="1709" t="str">
        <f t="shared" si="80"/>
        <v/>
      </c>
      <c r="W31" s="1713">
        <f t="shared" si="81"/>
        <v>0</v>
      </c>
      <c r="X31" s="1715" t="str">
        <f t="shared" si="0"/>
        <v/>
      </c>
      <c r="Y31" s="1716" t="str">
        <f t="shared" si="1"/>
        <v/>
      </c>
      <c r="Z31" s="1717" t="s">
        <v>116</v>
      </c>
      <c r="AA31" s="1776" t="str">
        <f t="shared" si="2"/>
        <v/>
      </c>
      <c r="AB31" s="1448" t="str">
        <f t="shared" si="82"/>
        <v/>
      </c>
      <c r="AC31" s="1710" t="str">
        <f t="shared" si="83"/>
        <v/>
      </c>
      <c r="AD31" s="1705" t="str">
        <f t="shared" ca="1" si="84"/>
        <v/>
      </c>
      <c r="AE31" s="1709" t="str">
        <f t="shared" ca="1" si="85"/>
        <v/>
      </c>
      <c r="AF31" s="1710" t="str">
        <f t="shared" ca="1" si="86"/>
        <v/>
      </c>
      <c r="AG31" s="1705" t="str">
        <f t="shared" ca="1" si="87"/>
        <v/>
      </c>
      <c r="AH31" s="1709" t="str">
        <f t="shared" ca="1" si="88"/>
        <v/>
      </c>
      <c r="AI31" s="1705" t="str">
        <f t="shared" ca="1" si="89"/>
        <v/>
      </c>
      <c r="AJ31" s="1709" t="str">
        <f t="shared" ca="1" si="90"/>
        <v/>
      </c>
      <c r="AK31" s="1747" t="str">
        <f t="shared" si="3"/>
        <v/>
      </c>
      <c r="AL31" s="1748" t="str">
        <f t="shared" si="91"/>
        <v/>
      </c>
      <c r="AM31" s="1749" t="str">
        <f t="shared" si="3"/>
        <v/>
      </c>
      <c r="AN31" s="1710" t="str">
        <f t="shared" si="3"/>
        <v/>
      </c>
      <c r="AO31" s="1713" t="str">
        <f t="shared" si="3"/>
        <v/>
      </c>
      <c r="AP31" s="1712" t="str">
        <f t="shared" si="4"/>
        <v/>
      </c>
      <c r="AQ31" s="1751" t="str">
        <f t="shared" si="4"/>
        <v/>
      </c>
      <c r="AR31" s="1708" t="str">
        <f t="shared" si="5"/>
        <v/>
      </c>
      <c r="AS31" s="1709" t="str">
        <f t="shared" si="6"/>
        <v/>
      </c>
      <c r="AT31" s="1752" t="str">
        <f t="shared" si="7"/>
        <v/>
      </c>
      <c r="AU31" s="1753" t="str">
        <f t="shared" si="8"/>
        <v/>
      </c>
      <c r="AV31" s="1714" t="str">
        <f t="shared" si="9"/>
        <v/>
      </c>
      <c r="AW31" s="1709" t="str">
        <f t="shared" si="10"/>
        <v/>
      </c>
      <c r="AX31" s="1752" t="str">
        <f t="shared" si="11"/>
        <v/>
      </c>
      <c r="AY31" s="1753" t="str">
        <f t="shared" si="12"/>
        <v/>
      </c>
      <c r="AZ31" s="1714" t="str">
        <f t="shared" si="13"/>
        <v/>
      </c>
      <c r="BA31" s="1709" t="str">
        <f t="shared" si="14"/>
        <v/>
      </c>
      <c r="BB31" s="1752" t="str">
        <f t="shared" si="15"/>
        <v/>
      </c>
      <c r="BC31" s="1753" t="str">
        <f t="shared" si="16"/>
        <v/>
      </c>
      <c r="BD31" s="1714" t="str">
        <f t="shared" si="17"/>
        <v/>
      </c>
      <c r="BE31" s="1709" t="str">
        <f t="shared" si="18"/>
        <v/>
      </c>
      <c r="BF31" s="1752" t="str">
        <f t="shared" si="19"/>
        <v/>
      </c>
      <c r="BG31" s="1753" t="str">
        <f t="shared" si="20"/>
        <v/>
      </c>
      <c r="BH31" s="1416"/>
      <c r="BJ31" s="995" t="str">
        <f t="shared" si="59"/>
        <v/>
      </c>
      <c r="BK31" s="993" t="b">
        <f t="shared" si="21"/>
        <v>0</v>
      </c>
      <c r="BL31" s="1800" t="b">
        <v>0</v>
      </c>
      <c r="BM31" s="989">
        <f t="shared" si="22"/>
        <v>0</v>
      </c>
      <c r="BN31" s="989">
        <f t="shared" si="23"/>
        <v>0</v>
      </c>
      <c r="BO31" s="989">
        <f t="shared" si="24"/>
        <v>0</v>
      </c>
      <c r="BP31" s="989">
        <f t="shared" si="25"/>
        <v>0</v>
      </c>
      <c r="BQ31" s="989">
        <f t="shared" si="26"/>
        <v>0</v>
      </c>
      <c r="BR31" s="989" t="b">
        <f t="shared" si="27"/>
        <v>1</v>
      </c>
      <c r="BS31" s="1302">
        <f t="shared" si="28"/>
        <v>6</v>
      </c>
      <c r="BT31" s="990" t="str">
        <f t="shared" si="29"/>
        <v>No</v>
      </c>
      <c r="BU31" s="1302">
        <f t="shared" si="30"/>
        <v>6</v>
      </c>
      <c r="BV31" s="990" t="str">
        <f t="shared" si="31"/>
        <v>No</v>
      </c>
      <c r="BW31" s="991">
        <f t="shared" ca="1" si="32"/>
        <v>0</v>
      </c>
      <c r="BX31" s="991" t="str">
        <f t="shared" ca="1" si="33"/>
        <v/>
      </c>
      <c r="BY31" s="991" t="b">
        <f t="shared" ca="1" si="34"/>
        <v>0</v>
      </c>
      <c r="BZ31" s="991" t="b">
        <f t="shared" si="52"/>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35"/>
        <v/>
      </c>
      <c r="EN31" s="1428" t="str">
        <f t="shared" si="36"/>
        <v/>
      </c>
      <c r="EO31" s="1429" t="str">
        <f t="shared" si="37"/>
        <v/>
      </c>
      <c r="EP31" s="1430" t="str">
        <f t="shared" si="38"/>
        <v/>
      </c>
      <c r="EQ31" s="1434" t="str">
        <f t="shared" si="39"/>
        <v/>
      </c>
      <c r="ER31" s="1440" t="str">
        <f t="shared" si="40"/>
        <v/>
      </c>
      <c r="ES31" s="1441" t="str">
        <f t="shared" si="41"/>
        <v/>
      </c>
      <c r="ET31" s="1442" t="str">
        <f t="shared" si="42"/>
        <v/>
      </c>
      <c r="EU31" s="1443" t="str">
        <f t="shared" si="53"/>
        <v/>
      </c>
      <c r="EX31" s="503" t="str">
        <f t="shared" ca="1" si="54"/>
        <v/>
      </c>
      <c r="EY31" s="940" t="str">
        <f t="shared" si="43"/>
        <v/>
      </c>
      <c r="EZ31" s="940" t="str">
        <f t="shared" si="55"/>
        <v/>
      </c>
      <c r="FA31" s="958" t="str">
        <f t="shared" ca="1" si="60"/>
        <v/>
      </c>
      <c r="FB31" s="134" t="str">
        <f t="shared" ca="1" si="56"/>
        <v/>
      </c>
      <c r="FC31" s="134">
        <f t="shared" ca="1" si="44"/>
        <v>0</v>
      </c>
      <c r="FD31" s="134">
        <f t="shared" ca="1" si="45"/>
        <v>0</v>
      </c>
      <c r="FE31" s="134">
        <f t="shared" ca="1" si="46"/>
        <v>0</v>
      </c>
      <c r="FF31" s="134">
        <f t="shared" ca="1" si="57"/>
        <v>0</v>
      </c>
      <c r="FN31" s="754" t="b">
        <v>0</v>
      </c>
      <c r="FO31" s="755" t="b">
        <f t="shared" si="47"/>
        <v>1</v>
      </c>
      <c r="FP31" s="755" t="b">
        <v>0</v>
      </c>
      <c r="FQ31" s="755" t="b">
        <f t="shared" si="58"/>
        <v>1</v>
      </c>
      <c r="FW31" s="2"/>
      <c r="FX31" s="2"/>
      <c r="FZ31" s="2"/>
      <c r="GA31" s="1761" t="str">
        <f t="shared" si="92"/>
        <v/>
      </c>
      <c r="GB31" s="1762" t="str">
        <f t="shared" si="93"/>
        <v/>
      </c>
      <c r="GC31" s="1763" t="str">
        <f t="shared" si="94"/>
        <v/>
      </c>
      <c r="GD31" s="1764" t="str">
        <f t="shared" si="95"/>
        <v/>
      </c>
      <c r="GE31" s="1765" t="str">
        <f t="shared" si="48"/>
        <v/>
      </c>
      <c r="GF31" s="582" t="str">
        <f t="shared" si="49"/>
        <v/>
      </c>
      <c r="GG31" s="692"/>
      <c r="GH31" s="1135"/>
      <c r="GI31" s="692"/>
      <c r="GJ31" s="1135"/>
      <c r="GK31" s="1640">
        <f t="shared" si="50"/>
        <v>0</v>
      </c>
      <c r="GL31" s="1640" t="e">
        <f t="shared" si="51"/>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61"/>
        <v>0</v>
      </c>
    </row>
    <row r="32" spans="1:272" ht="12.6" customHeight="1" x14ac:dyDescent="0.25">
      <c r="A32" s="1448" t="str">
        <f t="shared" si="65"/>
        <v/>
      </c>
      <c r="B32" s="1681"/>
      <c r="C32" s="1449"/>
      <c r="D32" s="1705" t="str">
        <f t="shared" si="66"/>
        <v/>
      </c>
      <c r="E32" s="1706" t="str">
        <f t="shared" si="67"/>
        <v/>
      </c>
      <c r="F32" s="1707" t="str">
        <f t="shared" si="68"/>
        <v/>
      </c>
      <c r="G32" s="1708" t="str">
        <f t="shared" si="69"/>
        <v/>
      </c>
      <c r="H32" s="1709" t="str">
        <f t="shared" si="70"/>
        <v/>
      </c>
      <c r="I32" s="1710" t="str">
        <f t="shared" si="71"/>
        <v/>
      </c>
      <c r="J32" s="1705" t="str">
        <f t="shared" si="62"/>
        <v/>
      </c>
      <c r="K32" s="1709" t="str">
        <f t="shared" si="63"/>
        <v/>
      </c>
      <c r="L32" s="1711" t="str">
        <f t="shared" si="64"/>
        <v/>
      </c>
      <c r="M32" s="1712" t="str">
        <f t="shared" si="72"/>
        <v/>
      </c>
      <c r="N32" s="1713" t="str">
        <f t="shared" si="72"/>
        <v/>
      </c>
      <c r="O32" s="1708" t="str">
        <f t="shared" si="73"/>
        <v/>
      </c>
      <c r="P32" s="1709" t="str">
        <f t="shared" si="74"/>
        <v/>
      </c>
      <c r="Q32" s="1705" t="str">
        <f t="shared" si="75"/>
        <v/>
      </c>
      <c r="R32" s="1706" t="str">
        <f t="shared" si="76"/>
        <v/>
      </c>
      <c r="S32" s="1714" t="str">
        <f t="shared" si="77"/>
        <v/>
      </c>
      <c r="T32" s="1709" t="str">
        <f t="shared" si="78"/>
        <v/>
      </c>
      <c r="U32" s="1705" t="str">
        <f t="shared" si="79"/>
        <v/>
      </c>
      <c r="V32" s="1709" t="str">
        <f t="shared" si="80"/>
        <v/>
      </c>
      <c r="W32" s="1713">
        <f t="shared" si="81"/>
        <v>0</v>
      </c>
      <c r="X32" s="1715" t="str">
        <f t="shared" si="0"/>
        <v/>
      </c>
      <c r="Y32" s="1716" t="str">
        <f t="shared" si="1"/>
        <v/>
      </c>
      <c r="Z32" s="1717" t="s">
        <v>116</v>
      </c>
      <c r="AA32" s="1776" t="str">
        <f t="shared" si="2"/>
        <v/>
      </c>
      <c r="AB32" s="1448" t="str">
        <f t="shared" si="82"/>
        <v/>
      </c>
      <c r="AC32" s="1710" t="str">
        <f t="shared" si="83"/>
        <v/>
      </c>
      <c r="AD32" s="1705" t="str">
        <f t="shared" ca="1" si="84"/>
        <v/>
      </c>
      <c r="AE32" s="1709" t="str">
        <f t="shared" ca="1" si="85"/>
        <v/>
      </c>
      <c r="AF32" s="1710" t="str">
        <f t="shared" ca="1" si="86"/>
        <v/>
      </c>
      <c r="AG32" s="1705" t="str">
        <f t="shared" ca="1" si="87"/>
        <v/>
      </c>
      <c r="AH32" s="1709" t="str">
        <f t="shared" ca="1" si="88"/>
        <v/>
      </c>
      <c r="AI32" s="1705" t="str">
        <f t="shared" ca="1" si="89"/>
        <v/>
      </c>
      <c r="AJ32" s="1709" t="str">
        <f t="shared" ca="1" si="90"/>
        <v/>
      </c>
      <c r="AK32" s="1747" t="str">
        <f t="shared" si="3"/>
        <v/>
      </c>
      <c r="AL32" s="1748" t="str">
        <f t="shared" si="91"/>
        <v/>
      </c>
      <c r="AM32" s="1749" t="str">
        <f t="shared" si="3"/>
        <v/>
      </c>
      <c r="AN32" s="1710" t="str">
        <f t="shared" si="3"/>
        <v/>
      </c>
      <c r="AO32" s="1713" t="str">
        <f t="shared" si="3"/>
        <v/>
      </c>
      <c r="AP32" s="1712" t="str">
        <f t="shared" si="4"/>
        <v/>
      </c>
      <c r="AQ32" s="1751" t="str">
        <f t="shared" si="4"/>
        <v/>
      </c>
      <c r="AR32" s="1708" t="str">
        <f t="shared" si="5"/>
        <v/>
      </c>
      <c r="AS32" s="1709" t="str">
        <f t="shared" si="6"/>
        <v/>
      </c>
      <c r="AT32" s="1752" t="str">
        <f t="shared" si="7"/>
        <v/>
      </c>
      <c r="AU32" s="1753" t="str">
        <f t="shared" si="8"/>
        <v/>
      </c>
      <c r="AV32" s="1714" t="str">
        <f t="shared" si="9"/>
        <v/>
      </c>
      <c r="AW32" s="1709" t="str">
        <f t="shared" si="10"/>
        <v/>
      </c>
      <c r="AX32" s="1752" t="str">
        <f t="shared" si="11"/>
        <v/>
      </c>
      <c r="AY32" s="1753" t="str">
        <f t="shared" si="12"/>
        <v/>
      </c>
      <c r="AZ32" s="1714" t="str">
        <f t="shared" si="13"/>
        <v/>
      </c>
      <c r="BA32" s="1709" t="str">
        <f t="shared" si="14"/>
        <v/>
      </c>
      <c r="BB32" s="1752" t="str">
        <f t="shared" si="15"/>
        <v/>
      </c>
      <c r="BC32" s="1753" t="str">
        <f t="shared" si="16"/>
        <v/>
      </c>
      <c r="BD32" s="1714" t="str">
        <f t="shared" si="17"/>
        <v/>
      </c>
      <c r="BE32" s="1709" t="str">
        <f t="shared" si="18"/>
        <v/>
      </c>
      <c r="BF32" s="1752" t="str">
        <f t="shared" si="19"/>
        <v/>
      </c>
      <c r="BG32" s="1753" t="str">
        <f t="shared" si="20"/>
        <v/>
      </c>
      <c r="BH32" s="1416"/>
      <c r="BJ32" s="995" t="str">
        <f t="shared" si="59"/>
        <v/>
      </c>
      <c r="BK32" s="993" t="b">
        <f t="shared" si="21"/>
        <v>0</v>
      </c>
      <c r="BL32" s="1800" t="b">
        <v>0</v>
      </c>
      <c r="BM32" s="989">
        <f t="shared" si="22"/>
        <v>0</v>
      </c>
      <c r="BN32" s="989">
        <f t="shared" si="23"/>
        <v>0</v>
      </c>
      <c r="BO32" s="989">
        <f t="shared" si="24"/>
        <v>0</v>
      </c>
      <c r="BP32" s="989">
        <f t="shared" si="25"/>
        <v>0</v>
      </c>
      <c r="BQ32" s="989">
        <f t="shared" si="26"/>
        <v>0</v>
      </c>
      <c r="BR32" s="989" t="b">
        <f t="shared" si="27"/>
        <v>1</v>
      </c>
      <c r="BS32" s="1302">
        <f t="shared" si="28"/>
        <v>6</v>
      </c>
      <c r="BT32" s="990" t="str">
        <f t="shared" si="29"/>
        <v>No</v>
      </c>
      <c r="BU32" s="1302">
        <f t="shared" si="30"/>
        <v>6</v>
      </c>
      <c r="BV32" s="990" t="str">
        <f t="shared" si="31"/>
        <v>No</v>
      </c>
      <c r="BW32" s="991">
        <f t="shared" ca="1" si="32"/>
        <v>0</v>
      </c>
      <c r="BX32" s="991" t="str">
        <f t="shared" ca="1" si="33"/>
        <v/>
      </c>
      <c r="BY32" s="991" t="b">
        <f t="shared" ca="1" si="34"/>
        <v>0</v>
      </c>
      <c r="BZ32" s="991" t="b">
        <f t="shared" si="52"/>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35"/>
        <v/>
      </c>
      <c r="EN32" s="1428" t="str">
        <f t="shared" si="36"/>
        <v/>
      </c>
      <c r="EO32" s="1429" t="str">
        <f t="shared" si="37"/>
        <v/>
      </c>
      <c r="EP32" s="1430" t="str">
        <f t="shared" si="38"/>
        <v/>
      </c>
      <c r="EQ32" s="1434" t="str">
        <f t="shared" si="39"/>
        <v/>
      </c>
      <c r="ER32" s="1440" t="str">
        <f t="shared" si="40"/>
        <v/>
      </c>
      <c r="ES32" s="1441" t="str">
        <f t="shared" si="41"/>
        <v/>
      </c>
      <c r="ET32" s="1442" t="str">
        <f t="shared" si="42"/>
        <v/>
      </c>
      <c r="EU32" s="1443" t="str">
        <f t="shared" si="53"/>
        <v/>
      </c>
      <c r="EX32" s="503" t="str">
        <f t="shared" ca="1" si="54"/>
        <v/>
      </c>
      <c r="EY32" s="940" t="str">
        <f t="shared" si="43"/>
        <v/>
      </c>
      <c r="EZ32" s="940" t="str">
        <f t="shared" si="55"/>
        <v/>
      </c>
      <c r="FA32" s="958" t="str">
        <f t="shared" ca="1" si="60"/>
        <v/>
      </c>
      <c r="FB32" s="134" t="str">
        <f t="shared" ca="1" si="56"/>
        <v/>
      </c>
      <c r="FC32" s="134">
        <f t="shared" ca="1" si="44"/>
        <v>0</v>
      </c>
      <c r="FD32" s="134">
        <f t="shared" ca="1" si="45"/>
        <v>0</v>
      </c>
      <c r="FE32" s="134">
        <f t="shared" ca="1" si="46"/>
        <v>0</v>
      </c>
      <c r="FF32" s="134">
        <f t="shared" ca="1" si="57"/>
        <v>0</v>
      </c>
      <c r="FN32" s="754" t="b">
        <v>0</v>
      </c>
      <c r="FO32" s="754" t="b">
        <f t="shared" si="47"/>
        <v>1</v>
      </c>
      <c r="FP32" s="754" t="b">
        <v>0</v>
      </c>
      <c r="FQ32" s="754" t="b">
        <f t="shared" si="58"/>
        <v>1</v>
      </c>
      <c r="FW32" s="2"/>
      <c r="FX32" s="2"/>
      <c r="FZ32" s="2"/>
      <c r="GA32" s="1761" t="str">
        <f t="shared" si="92"/>
        <v/>
      </c>
      <c r="GB32" s="1762" t="str">
        <f t="shared" si="93"/>
        <v/>
      </c>
      <c r="GC32" s="1763" t="str">
        <f t="shared" si="94"/>
        <v/>
      </c>
      <c r="GD32" s="1764" t="str">
        <f t="shared" si="95"/>
        <v/>
      </c>
      <c r="GE32" s="1765" t="str">
        <f t="shared" si="48"/>
        <v/>
      </c>
      <c r="GF32" s="582" t="str">
        <f t="shared" si="49"/>
        <v/>
      </c>
      <c r="GG32" s="692"/>
      <c r="GH32" s="1135"/>
      <c r="GI32" s="692"/>
      <c r="GJ32" s="1135"/>
      <c r="GK32" s="1640">
        <f t="shared" si="50"/>
        <v>0</v>
      </c>
      <c r="GL32" s="1640" t="e">
        <f t="shared" si="51"/>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61"/>
        <v>0</v>
      </c>
    </row>
    <row r="33" spans="1:272" ht="12.6" customHeight="1" x14ac:dyDescent="0.25">
      <c r="A33" s="1448" t="str">
        <f t="shared" si="65"/>
        <v/>
      </c>
      <c r="B33" s="1681"/>
      <c r="C33" s="1449"/>
      <c r="D33" s="1705" t="str">
        <f t="shared" si="66"/>
        <v/>
      </c>
      <c r="E33" s="1706" t="str">
        <f t="shared" si="67"/>
        <v/>
      </c>
      <c r="F33" s="1707" t="str">
        <f t="shared" si="68"/>
        <v/>
      </c>
      <c r="G33" s="1708" t="str">
        <f t="shared" si="69"/>
        <v/>
      </c>
      <c r="H33" s="1709" t="str">
        <f t="shared" si="70"/>
        <v/>
      </c>
      <c r="I33" s="1710" t="str">
        <f t="shared" si="71"/>
        <v/>
      </c>
      <c r="J33" s="1705" t="str">
        <f t="shared" si="62"/>
        <v/>
      </c>
      <c r="K33" s="1709" t="str">
        <f t="shared" si="63"/>
        <v/>
      </c>
      <c r="L33" s="1711" t="str">
        <f t="shared" si="64"/>
        <v/>
      </c>
      <c r="M33" s="1712" t="str">
        <f t="shared" si="72"/>
        <v/>
      </c>
      <c r="N33" s="1713" t="str">
        <f t="shared" si="72"/>
        <v/>
      </c>
      <c r="O33" s="1708" t="str">
        <f t="shared" si="73"/>
        <v/>
      </c>
      <c r="P33" s="1709" t="str">
        <f t="shared" si="74"/>
        <v/>
      </c>
      <c r="Q33" s="1705" t="str">
        <f t="shared" si="75"/>
        <v/>
      </c>
      <c r="R33" s="1706" t="str">
        <f t="shared" si="76"/>
        <v/>
      </c>
      <c r="S33" s="1714" t="str">
        <f t="shared" si="77"/>
        <v/>
      </c>
      <c r="T33" s="1709" t="str">
        <f t="shared" si="78"/>
        <v/>
      </c>
      <c r="U33" s="1705" t="str">
        <f t="shared" si="79"/>
        <v/>
      </c>
      <c r="V33" s="1709" t="str">
        <f t="shared" si="80"/>
        <v/>
      </c>
      <c r="W33" s="1713">
        <f t="shared" si="81"/>
        <v>0</v>
      </c>
      <c r="X33" s="1715" t="str">
        <f t="shared" si="0"/>
        <v/>
      </c>
      <c r="Y33" s="1716" t="str">
        <f t="shared" si="1"/>
        <v/>
      </c>
      <c r="Z33" s="1717" t="s">
        <v>116</v>
      </c>
      <c r="AA33" s="1776" t="str">
        <f t="shared" si="2"/>
        <v/>
      </c>
      <c r="AB33" s="1448" t="str">
        <f t="shared" si="82"/>
        <v/>
      </c>
      <c r="AC33" s="1710" t="str">
        <f t="shared" si="83"/>
        <v/>
      </c>
      <c r="AD33" s="1705" t="str">
        <f t="shared" ca="1" si="84"/>
        <v/>
      </c>
      <c r="AE33" s="1709" t="str">
        <f t="shared" ca="1" si="85"/>
        <v/>
      </c>
      <c r="AF33" s="1710" t="str">
        <f t="shared" ca="1" si="86"/>
        <v/>
      </c>
      <c r="AG33" s="1705" t="str">
        <f t="shared" ca="1" si="87"/>
        <v/>
      </c>
      <c r="AH33" s="1709" t="str">
        <f t="shared" ca="1" si="88"/>
        <v/>
      </c>
      <c r="AI33" s="1705" t="str">
        <f t="shared" ca="1" si="89"/>
        <v/>
      </c>
      <c r="AJ33" s="1709" t="str">
        <f t="shared" ca="1" si="90"/>
        <v/>
      </c>
      <c r="AK33" s="1747" t="str">
        <f t="shared" si="3"/>
        <v/>
      </c>
      <c r="AL33" s="1748" t="str">
        <f t="shared" si="91"/>
        <v/>
      </c>
      <c r="AM33" s="1749" t="str">
        <f t="shared" si="3"/>
        <v/>
      </c>
      <c r="AN33" s="1710" t="str">
        <f t="shared" si="3"/>
        <v/>
      </c>
      <c r="AO33" s="1713" t="str">
        <f t="shared" si="3"/>
        <v/>
      </c>
      <c r="AP33" s="1712" t="str">
        <f t="shared" si="4"/>
        <v/>
      </c>
      <c r="AQ33" s="1751" t="str">
        <f t="shared" si="4"/>
        <v/>
      </c>
      <c r="AR33" s="1708" t="str">
        <f t="shared" si="5"/>
        <v/>
      </c>
      <c r="AS33" s="1709" t="str">
        <f t="shared" si="6"/>
        <v/>
      </c>
      <c r="AT33" s="1752" t="str">
        <f t="shared" si="7"/>
        <v/>
      </c>
      <c r="AU33" s="1753" t="str">
        <f t="shared" si="8"/>
        <v/>
      </c>
      <c r="AV33" s="1714" t="str">
        <f t="shared" si="9"/>
        <v/>
      </c>
      <c r="AW33" s="1709" t="str">
        <f t="shared" si="10"/>
        <v/>
      </c>
      <c r="AX33" s="1752" t="str">
        <f t="shared" si="11"/>
        <v/>
      </c>
      <c r="AY33" s="1753" t="str">
        <f t="shared" si="12"/>
        <v/>
      </c>
      <c r="AZ33" s="1714" t="str">
        <f t="shared" si="13"/>
        <v/>
      </c>
      <c r="BA33" s="1709" t="str">
        <f t="shared" si="14"/>
        <v/>
      </c>
      <c r="BB33" s="1752" t="str">
        <f t="shared" si="15"/>
        <v/>
      </c>
      <c r="BC33" s="1753" t="str">
        <f t="shared" si="16"/>
        <v/>
      </c>
      <c r="BD33" s="1714" t="str">
        <f t="shared" si="17"/>
        <v/>
      </c>
      <c r="BE33" s="1709" t="str">
        <f t="shared" si="18"/>
        <v/>
      </c>
      <c r="BF33" s="1752" t="str">
        <f t="shared" si="19"/>
        <v/>
      </c>
      <c r="BG33" s="1753" t="str">
        <f t="shared" si="20"/>
        <v/>
      </c>
      <c r="BH33" s="1416"/>
      <c r="BJ33" s="995" t="str">
        <f t="shared" si="59"/>
        <v/>
      </c>
      <c r="BK33" s="993" t="b">
        <f t="shared" si="21"/>
        <v>0</v>
      </c>
      <c r="BL33" s="1800" t="b">
        <v>0</v>
      </c>
      <c r="BM33" s="989">
        <f t="shared" si="22"/>
        <v>0</v>
      </c>
      <c r="BN33" s="989">
        <f t="shared" si="23"/>
        <v>0</v>
      </c>
      <c r="BO33" s="989">
        <f t="shared" si="24"/>
        <v>0</v>
      </c>
      <c r="BP33" s="989">
        <f t="shared" si="25"/>
        <v>0</v>
      </c>
      <c r="BQ33" s="989">
        <f t="shared" si="26"/>
        <v>0</v>
      </c>
      <c r="BR33" s="989" t="b">
        <f t="shared" si="27"/>
        <v>1</v>
      </c>
      <c r="BS33" s="1302">
        <f t="shared" si="28"/>
        <v>6</v>
      </c>
      <c r="BT33" s="990" t="str">
        <f t="shared" si="29"/>
        <v>No</v>
      </c>
      <c r="BU33" s="1302">
        <f t="shared" si="30"/>
        <v>6</v>
      </c>
      <c r="BV33" s="990" t="str">
        <f t="shared" si="31"/>
        <v>No</v>
      </c>
      <c r="BW33" s="991">
        <f t="shared" ca="1" si="32"/>
        <v>0</v>
      </c>
      <c r="BX33" s="991" t="str">
        <f t="shared" ca="1" si="33"/>
        <v/>
      </c>
      <c r="BY33" s="991" t="b">
        <f t="shared" ca="1" si="34"/>
        <v>0</v>
      </c>
      <c r="BZ33" s="991" t="b">
        <f t="shared" si="52"/>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35"/>
        <v/>
      </c>
      <c r="EN33" s="1428" t="str">
        <f t="shared" si="36"/>
        <v/>
      </c>
      <c r="EO33" s="1429" t="str">
        <f t="shared" si="37"/>
        <v/>
      </c>
      <c r="EP33" s="1430" t="str">
        <f t="shared" si="38"/>
        <v/>
      </c>
      <c r="EQ33" s="1434" t="str">
        <f t="shared" si="39"/>
        <v/>
      </c>
      <c r="ER33" s="1440" t="str">
        <f t="shared" si="40"/>
        <v/>
      </c>
      <c r="ES33" s="1441" t="str">
        <f t="shared" si="41"/>
        <v/>
      </c>
      <c r="ET33" s="1442" t="str">
        <f t="shared" si="42"/>
        <v/>
      </c>
      <c r="EU33" s="1443" t="str">
        <f t="shared" si="53"/>
        <v/>
      </c>
      <c r="EX33" s="503" t="str">
        <f t="shared" ca="1" si="54"/>
        <v/>
      </c>
      <c r="EY33" s="940" t="str">
        <f t="shared" si="43"/>
        <v/>
      </c>
      <c r="EZ33" s="940" t="str">
        <f t="shared" si="55"/>
        <v/>
      </c>
      <c r="FA33" s="958" t="str">
        <f t="shared" ca="1" si="60"/>
        <v/>
      </c>
      <c r="FB33" s="134" t="str">
        <f t="shared" ca="1" si="56"/>
        <v/>
      </c>
      <c r="FC33" s="134">
        <f t="shared" ca="1" si="44"/>
        <v>0</v>
      </c>
      <c r="FD33" s="134">
        <f t="shared" ca="1" si="45"/>
        <v>0</v>
      </c>
      <c r="FE33" s="134">
        <f t="shared" ca="1" si="46"/>
        <v>0</v>
      </c>
      <c r="FF33" s="134">
        <f t="shared" ca="1" si="57"/>
        <v>0</v>
      </c>
      <c r="FN33" s="754" t="b">
        <v>0</v>
      </c>
      <c r="FO33" s="754" t="b">
        <f t="shared" si="47"/>
        <v>1</v>
      </c>
      <c r="FP33" s="754" t="b">
        <v>0</v>
      </c>
      <c r="FQ33" s="754" t="b">
        <f t="shared" si="58"/>
        <v>1</v>
      </c>
      <c r="FW33" s="2"/>
      <c r="FX33" s="2"/>
      <c r="FZ33" s="2"/>
      <c r="GA33" s="1761" t="str">
        <f t="shared" si="92"/>
        <v/>
      </c>
      <c r="GB33" s="1762" t="str">
        <f t="shared" si="93"/>
        <v/>
      </c>
      <c r="GC33" s="1763" t="str">
        <f t="shared" si="94"/>
        <v/>
      </c>
      <c r="GD33" s="1764" t="str">
        <f t="shared" si="95"/>
        <v/>
      </c>
      <c r="GE33" s="1765" t="str">
        <f t="shared" si="48"/>
        <v/>
      </c>
      <c r="GF33" s="582" t="str">
        <f t="shared" si="49"/>
        <v/>
      </c>
      <c r="GG33" s="692"/>
      <c r="GH33" s="1135"/>
      <c r="GI33" s="692"/>
      <c r="GJ33" s="1135"/>
      <c r="GK33" s="1640">
        <f t="shared" si="50"/>
        <v>0</v>
      </c>
      <c r="GL33" s="1640" t="e">
        <f t="shared" si="51"/>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61"/>
        <v>0</v>
      </c>
    </row>
    <row r="34" spans="1:272" ht="12.6" customHeight="1" x14ac:dyDescent="0.25">
      <c r="A34" s="1448" t="str">
        <f t="shared" si="65"/>
        <v/>
      </c>
      <c r="B34" s="1681"/>
      <c r="C34" s="1449"/>
      <c r="D34" s="1705" t="str">
        <f t="shared" si="66"/>
        <v/>
      </c>
      <c r="E34" s="1706" t="str">
        <f t="shared" si="67"/>
        <v/>
      </c>
      <c r="F34" s="1707" t="str">
        <f t="shared" si="68"/>
        <v/>
      </c>
      <c r="G34" s="1708" t="str">
        <f t="shared" si="69"/>
        <v/>
      </c>
      <c r="H34" s="1709" t="str">
        <f t="shared" si="70"/>
        <v/>
      </c>
      <c r="I34" s="1710" t="str">
        <f t="shared" si="71"/>
        <v/>
      </c>
      <c r="J34" s="1705" t="str">
        <f t="shared" si="62"/>
        <v/>
      </c>
      <c r="K34" s="1709" t="str">
        <f t="shared" si="63"/>
        <v/>
      </c>
      <c r="L34" s="1711" t="str">
        <f t="shared" si="64"/>
        <v/>
      </c>
      <c r="M34" s="1712" t="str">
        <f t="shared" si="72"/>
        <v/>
      </c>
      <c r="N34" s="1713" t="str">
        <f t="shared" si="72"/>
        <v/>
      </c>
      <c r="O34" s="1708" t="str">
        <f t="shared" si="73"/>
        <v/>
      </c>
      <c r="P34" s="1709" t="str">
        <f t="shared" si="74"/>
        <v/>
      </c>
      <c r="Q34" s="1705" t="str">
        <f t="shared" si="75"/>
        <v/>
      </c>
      <c r="R34" s="1706" t="str">
        <f t="shared" si="76"/>
        <v/>
      </c>
      <c r="S34" s="1714" t="str">
        <f t="shared" si="77"/>
        <v/>
      </c>
      <c r="T34" s="1709" t="str">
        <f t="shared" si="78"/>
        <v/>
      </c>
      <c r="U34" s="1705" t="str">
        <f t="shared" si="79"/>
        <v/>
      </c>
      <c r="V34" s="1709" t="str">
        <f t="shared" si="80"/>
        <v/>
      </c>
      <c r="W34" s="1713">
        <f t="shared" si="81"/>
        <v>0</v>
      </c>
      <c r="X34" s="1715" t="str">
        <f t="shared" si="0"/>
        <v/>
      </c>
      <c r="Y34" s="1716" t="str">
        <f t="shared" si="1"/>
        <v/>
      </c>
      <c r="Z34" s="1717" t="s">
        <v>116</v>
      </c>
      <c r="AA34" s="1776" t="str">
        <f t="shared" si="2"/>
        <v/>
      </c>
      <c r="AB34" s="1448" t="str">
        <f t="shared" si="82"/>
        <v/>
      </c>
      <c r="AC34" s="1710" t="str">
        <f t="shared" si="83"/>
        <v/>
      </c>
      <c r="AD34" s="1705" t="str">
        <f t="shared" ca="1" si="84"/>
        <v/>
      </c>
      <c r="AE34" s="1709" t="str">
        <f t="shared" ca="1" si="85"/>
        <v/>
      </c>
      <c r="AF34" s="1710" t="str">
        <f t="shared" ca="1" si="86"/>
        <v/>
      </c>
      <c r="AG34" s="1705" t="str">
        <f t="shared" ca="1" si="87"/>
        <v/>
      </c>
      <c r="AH34" s="1709" t="str">
        <f t="shared" ca="1" si="88"/>
        <v/>
      </c>
      <c r="AI34" s="1705" t="str">
        <f t="shared" ca="1" si="89"/>
        <v/>
      </c>
      <c r="AJ34" s="1709" t="str">
        <f t="shared" ca="1" si="90"/>
        <v/>
      </c>
      <c r="AK34" s="1747" t="str">
        <f t="shared" si="3"/>
        <v/>
      </c>
      <c r="AL34" s="1748" t="str">
        <f t="shared" si="91"/>
        <v/>
      </c>
      <c r="AM34" s="1749" t="str">
        <f t="shared" si="3"/>
        <v/>
      </c>
      <c r="AN34" s="1710" t="str">
        <f t="shared" si="3"/>
        <v/>
      </c>
      <c r="AO34" s="1713" t="str">
        <f t="shared" si="3"/>
        <v/>
      </c>
      <c r="AP34" s="1712" t="str">
        <f t="shared" si="4"/>
        <v/>
      </c>
      <c r="AQ34" s="1751" t="str">
        <f t="shared" si="4"/>
        <v/>
      </c>
      <c r="AR34" s="1708" t="str">
        <f t="shared" si="5"/>
        <v/>
      </c>
      <c r="AS34" s="1709" t="str">
        <f t="shared" si="6"/>
        <v/>
      </c>
      <c r="AT34" s="1752" t="str">
        <f t="shared" si="7"/>
        <v/>
      </c>
      <c r="AU34" s="1753" t="str">
        <f t="shared" si="8"/>
        <v/>
      </c>
      <c r="AV34" s="1714" t="str">
        <f t="shared" si="9"/>
        <v/>
      </c>
      <c r="AW34" s="1709" t="str">
        <f t="shared" si="10"/>
        <v/>
      </c>
      <c r="AX34" s="1752" t="str">
        <f t="shared" si="11"/>
        <v/>
      </c>
      <c r="AY34" s="1753" t="str">
        <f t="shared" si="12"/>
        <v/>
      </c>
      <c r="AZ34" s="1714" t="str">
        <f t="shared" si="13"/>
        <v/>
      </c>
      <c r="BA34" s="1709" t="str">
        <f t="shared" si="14"/>
        <v/>
      </c>
      <c r="BB34" s="1752" t="str">
        <f t="shared" si="15"/>
        <v/>
      </c>
      <c r="BC34" s="1753" t="str">
        <f t="shared" si="16"/>
        <v/>
      </c>
      <c r="BD34" s="1714" t="str">
        <f t="shared" si="17"/>
        <v/>
      </c>
      <c r="BE34" s="1709" t="str">
        <f t="shared" si="18"/>
        <v/>
      </c>
      <c r="BF34" s="1752" t="str">
        <f t="shared" si="19"/>
        <v/>
      </c>
      <c r="BG34" s="1753" t="str">
        <f t="shared" si="20"/>
        <v/>
      </c>
      <c r="BH34" s="1416"/>
      <c r="BJ34" s="995" t="str">
        <f t="shared" si="59"/>
        <v/>
      </c>
      <c r="BK34" s="993" t="b">
        <f t="shared" si="21"/>
        <v>0</v>
      </c>
      <c r="BL34" s="1800" t="b">
        <v>0</v>
      </c>
      <c r="BM34" s="989">
        <f t="shared" si="22"/>
        <v>0</v>
      </c>
      <c r="BN34" s="989">
        <f t="shared" si="23"/>
        <v>0</v>
      </c>
      <c r="BO34" s="989">
        <f t="shared" si="24"/>
        <v>0</v>
      </c>
      <c r="BP34" s="989">
        <f t="shared" si="25"/>
        <v>0</v>
      </c>
      <c r="BQ34" s="989">
        <f t="shared" si="26"/>
        <v>0</v>
      </c>
      <c r="BR34" s="989" t="b">
        <f t="shared" si="27"/>
        <v>1</v>
      </c>
      <c r="BS34" s="1302">
        <f t="shared" si="28"/>
        <v>6</v>
      </c>
      <c r="BT34" s="990" t="str">
        <f t="shared" si="29"/>
        <v>No</v>
      </c>
      <c r="BU34" s="1302">
        <f t="shared" si="30"/>
        <v>6</v>
      </c>
      <c r="BV34" s="990" t="str">
        <f t="shared" si="31"/>
        <v>No</v>
      </c>
      <c r="BW34" s="991">
        <f t="shared" ca="1" si="32"/>
        <v>0</v>
      </c>
      <c r="BX34" s="991" t="str">
        <f t="shared" ca="1" si="33"/>
        <v/>
      </c>
      <c r="BY34" s="991" t="b">
        <f t="shared" ca="1" si="34"/>
        <v>0</v>
      </c>
      <c r="BZ34" s="991" t="b">
        <f t="shared" si="52"/>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35"/>
        <v/>
      </c>
      <c r="EN34" s="1428" t="str">
        <f t="shared" si="36"/>
        <v/>
      </c>
      <c r="EO34" s="1429" t="str">
        <f t="shared" si="37"/>
        <v/>
      </c>
      <c r="EP34" s="1430" t="str">
        <f t="shared" si="38"/>
        <v/>
      </c>
      <c r="EQ34" s="1434" t="str">
        <f t="shared" si="39"/>
        <v/>
      </c>
      <c r="ER34" s="1440" t="str">
        <f t="shared" si="40"/>
        <v/>
      </c>
      <c r="ES34" s="1441" t="str">
        <f t="shared" si="41"/>
        <v/>
      </c>
      <c r="ET34" s="1442" t="str">
        <f t="shared" si="42"/>
        <v/>
      </c>
      <c r="EU34" s="1443" t="str">
        <f t="shared" si="53"/>
        <v/>
      </c>
      <c r="EX34" s="503" t="str">
        <f t="shared" ca="1" si="54"/>
        <v/>
      </c>
      <c r="EY34" s="940" t="str">
        <f t="shared" si="43"/>
        <v/>
      </c>
      <c r="EZ34" s="940" t="str">
        <f t="shared" si="55"/>
        <v/>
      </c>
      <c r="FA34" s="958" t="str">
        <f t="shared" ca="1" si="60"/>
        <v/>
      </c>
      <c r="FB34" s="134" t="str">
        <f t="shared" ca="1" si="56"/>
        <v/>
      </c>
      <c r="FC34" s="134">
        <f t="shared" ca="1" si="44"/>
        <v>0</v>
      </c>
      <c r="FD34" s="134">
        <f t="shared" ca="1" si="45"/>
        <v>0</v>
      </c>
      <c r="FE34" s="134">
        <f t="shared" ca="1" si="46"/>
        <v>0</v>
      </c>
      <c r="FF34" s="134">
        <f t="shared" ca="1" si="57"/>
        <v>0</v>
      </c>
      <c r="FN34" s="754" t="b">
        <v>0</v>
      </c>
      <c r="FO34" s="754" t="b">
        <f t="shared" si="47"/>
        <v>1</v>
      </c>
      <c r="FP34" s="754" t="b">
        <v>0</v>
      </c>
      <c r="FQ34" s="754" t="b">
        <f t="shared" si="58"/>
        <v>1</v>
      </c>
      <c r="FW34" s="2"/>
      <c r="FX34" s="2"/>
      <c r="FZ34" s="2"/>
      <c r="GA34" s="1761" t="str">
        <f t="shared" si="92"/>
        <v/>
      </c>
      <c r="GB34" s="1762" t="str">
        <f t="shared" si="93"/>
        <v/>
      </c>
      <c r="GC34" s="1763" t="str">
        <f t="shared" si="94"/>
        <v/>
      </c>
      <c r="GD34" s="1764" t="str">
        <f t="shared" si="95"/>
        <v/>
      </c>
      <c r="GE34" s="1765" t="str">
        <f t="shared" si="48"/>
        <v/>
      </c>
      <c r="GF34" s="582" t="str">
        <f t="shared" si="49"/>
        <v/>
      </c>
      <c r="GG34" s="692"/>
      <c r="GH34" s="1135"/>
      <c r="GI34" s="692"/>
      <c r="GJ34" s="1135"/>
      <c r="GK34" s="1640">
        <f t="shared" si="50"/>
        <v>0</v>
      </c>
      <c r="GL34" s="1640" t="e">
        <f t="shared" si="51"/>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61"/>
        <v>0</v>
      </c>
    </row>
    <row r="35" spans="1:272" ht="12.6" customHeight="1" x14ac:dyDescent="0.25">
      <c r="A35" s="1448" t="str">
        <f t="shared" si="65"/>
        <v/>
      </c>
      <c r="B35" s="1681"/>
      <c r="C35" s="1449"/>
      <c r="D35" s="1705" t="str">
        <f t="shared" si="66"/>
        <v/>
      </c>
      <c r="E35" s="1706" t="str">
        <f t="shared" si="67"/>
        <v/>
      </c>
      <c r="F35" s="1707" t="str">
        <f t="shared" si="68"/>
        <v/>
      </c>
      <c r="G35" s="1708" t="str">
        <f t="shared" si="69"/>
        <v/>
      </c>
      <c r="H35" s="1709" t="str">
        <f t="shared" si="70"/>
        <v/>
      </c>
      <c r="I35" s="1710" t="str">
        <f t="shared" si="71"/>
        <v/>
      </c>
      <c r="J35" s="1705" t="str">
        <f t="shared" si="62"/>
        <v/>
      </c>
      <c r="K35" s="1709" t="str">
        <f t="shared" si="63"/>
        <v/>
      </c>
      <c r="L35" s="1711" t="str">
        <f t="shared" si="64"/>
        <v/>
      </c>
      <c r="M35" s="1712" t="str">
        <f t="shared" si="72"/>
        <v/>
      </c>
      <c r="N35" s="1713" t="str">
        <f t="shared" si="72"/>
        <v/>
      </c>
      <c r="O35" s="1708" t="str">
        <f t="shared" si="73"/>
        <v/>
      </c>
      <c r="P35" s="1709" t="str">
        <f t="shared" si="74"/>
        <v/>
      </c>
      <c r="Q35" s="1705" t="str">
        <f t="shared" si="75"/>
        <v/>
      </c>
      <c r="R35" s="1706" t="str">
        <f t="shared" si="76"/>
        <v/>
      </c>
      <c r="S35" s="1714" t="str">
        <f t="shared" si="77"/>
        <v/>
      </c>
      <c r="T35" s="1709" t="str">
        <f t="shared" si="78"/>
        <v/>
      </c>
      <c r="U35" s="1705" t="str">
        <f t="shared" si="79"/>
        <v/>
      </c>
      <c r="V35" s="1709" t="str">
        <f t="shared" si="80"/>
        <v/>
      </c>
      <c r="W35" s="1713">
        <f t="shared" si="81"/>
        <v>0</v>
      </c>
      <c r="X35" s="1715" t="str">
        <f t="shared" si="0"/>
        <v/>
      </c>
      <c r="Y35" s="1716" t="str">
        <f t="shared" si="1"/>
        <v/>
      </c>
      <c r="Z35" s="1717" t="s">
        <v>116</v>
      </c>
      <c r="AA35" s="1776" t="str">
        <f t="shared" si="2"/>
        <v/>
      </c>
      <c r="AB35" s="1448" t="str">
        <f t="shared" si="82"/>
        <v/>
      </c>
      <c r="AC35" s="1710" t="str">
        <f t="shared" si="83"/>
        <v/>
      </c>
      <c r="AD35" s="1705" t="str">
        <f t="shared" ca="1" si="84"/>
        <v/>
      </c>
      <c r="AE35" s="1709" t="str">
        <f t="shared" ca="1" si="85"/>
        <v/>
      </c>
      <c r="AF35" s="1710" t="str">
        <f t="shared" ca="1" si="86"/>
        <v/>
      </c>
      <c r="AG35" s="1705" t="str">
        <f t="shared" ca="1" si="87"/>
        <v/>
      </c>
      <c r="AH35" s="1709" t="str">
        <f t="shared" ca="1" si="88"/>
        <v/>
      </c>
      <c r="AI35" s="1705" t="str">
        <f t="shared" ca="1" si="89"/>
        <v/>
      </c>
      <c r="AJ35" s="1709" t="str">
        <f t="shared" ca="1" si="90"/>
        <v/>
      </c>
      <c r="AK35" s="1747" t="str">
        <f t="shared" si="3"/>
        <v/>
      </c>
      <c r="AL35" s="1748" t="str">
        <f t="shared" si="91"/>
        <v/>
      </c>
      <c r="AM35" s="1749" t="str">
        <f t="shared" si="3"/>
        <v/>
      </c>
      <c r="AN35" s="1710" t="str">
        <f t="shared" si="3"/>
        <v/>
      </c>
      <c r="AO35" s="1713" t="str">
        <f t="shared" si="3"/>
        <v/>
      </c>
      <c r="AP35" s="1712" t="str">
        <f t="shared" si="4"/>
        <v/>
      </c>
      <c r="AQ35" s="1751" t="str">
        <f t="shared" si="4"/>
        <v/>
      </c>
      <c r="AR35" s="1708" t="str">
        <f t="shared" si="5"/>
        <v/>
      </c>
      <c r="AS35" s="1709" t="str">
        <f t="shared" si="6"/>
        <v/>
      </c>
      <c r="AT35" s="1752" t="str">
        <f t="shared" si="7"/>
        <v/>
      </c>
      <c r="AU35" s="1753" t="str">
        <f t="shared" si="8"/>
        <v/>
      </c>
      <c r="AV35" s="1714" t="str">
        <f t="shared" si="9"/>
        <v/>
      </c>
      <c r="AW35" s="1709" t="str">
        <f t="shared" si="10"/>
        <v/>
      </c>
      <c r="AX35" s="1752" t="str">
        <f t="shared" si="11"/>
        <v/>
      </c>
      <c r="AY35" s="1753" t="str">
        <f t="shared" si="12"/>
        <v/>
      </c>
      <c r="AZ35" s="1714" t="str">
        <f t="shared" si="13"/>
        <v/>
      </c>
      <c r="BA35" s="1709" t="str">
        <f t="shared" si="14"/>
        <v/>
      </c>
      <c r="BB35" s="1752" t="str">
        <f t="shared" si="15"/>
        <v/>
      </c>
      <c r="BC35" s="1753" t="str">
        <f t="shared" si="16"/>
        <v/>
      </c>
      <c r="BD35" s="1714" t="str">
        <f t="shared" si="17"/>
        <v/>
      </c>
      <c r="BE35" s="1709" t="str">
        <f t="shared" si="18"/>
        <v/>
      </c>
      <c r="BF35" s="1752" t="str">
        <f t="shared" si="19"/>
        <v/>
      </c>
      <c r="BG35" s="1753" t="str">
        <f t="shared" si="20"/>
        <v/>
      </c>
      <c r="BH35" s="1416"/>
      <c r="BJ35" s="995" t="str">
        <f t="shared" si="59"/>
        <v/>
      </c>
      <c r="BK35" s="993" t="b">
        <f t="shared" si="21"/>
        <v>0</v>
      </c>
      <c r="BL35" s="1800" t="b">
        <v>0</v>
      </c>
      <c r="BM35" s="989">
        <f t="shared" si="22"/>
        <v>0</v>
      </c>
      <c r="BN35" s="989">
        <f t="shared" si="23"/>
        <v>0</v>
      </c>
      <c r="BO35" s="989">
        <f t="shared" si="24"/>
        <v>0</v>
      </c>
      <c r="BP35" s="989">
        <f t="shared" si="25"/>
        <v>0</v>
      </c>
      <c r="BQ35" s="989">
        <f t="shared" si="26"/>
        <v>0</v>
      </c>
      <c r="BR35" s="989" t="b">
        <f t="shared" si="27"/>
        <v>1</v>
      </c>
      <c r="BS35" s="1302">
        <f t="shared" si="28"/>
        <v>6</v>
      </c>
      <c r="BT35" s="990" t="str">
        <f t="shared" si="29"/>
        <v>No</v>
      </c>
      <c r="BU35" s="1302">
        <f t="shared" si="30"/>
        <v>6</v>
      </c>
      <c r="BV35" s="990" t="str">
        <f t="shared" si="31"/>
        <v>No</v>
      </c>
      <c r="BW35" s="991">
        <f t="shared" ca="1" si="32"/>
        <v>0</v>
      </c>
      <c r="BX35" s="991" t="str">
        <f t="shared" ca="1" si="33"/>
        <v/>
      </c>
      <c r="BY35" s="991" t="b">
        <f t="shared" ca="1" si="34"/>
        <v>0</v>
      </c>
      <c r="BZ35" s="991" t="b">
        <f t="shared" si="52"/>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35"/>
        <v/>
      </c>
      <c r="EN35" s="1428" t="str">
        <f t="shared" si="36"/>
        <v/>
      </c>
      <c r="EO35" s="1429" t="str">
        <f t="shared" si="37"/>
        <v/>
      </c>
      <c r="EP35" s="1430" t="str">
        <f t="shared" si="38"/>
        <v/>
      </c>
      <c r="EQ35" s="1434" t="str">
        <f t="shared" si="39"/>
        <v/>
      </c>
      <c r="ER35" s="1440" t="str">
        <f t="shared" si="40"/>
        <v/>
      </c>
      <c r="ES35" s="1441" t="str">
        <f t="shared" si="41"/>
        <v/>
      </c>
      <c r="ET35" s="1442" t="str">
        <f t="shared" si="42"/>
        <v/>
      </c>
      <c r="EU35" s="1443" t="str">
        <f t="shared" si="53"/>
        <v/>
      </c>
      <c r="EX35" s="503" t="str">
        <f t="shared" ca="1" si="54"/>
        <v/>
      </c>
      <c r="EY35" s="940" t="str">
        <f t="shared" si="43"/>
        <v/>
      </c>
      <c r="EZ35" s="940" t="str">
        <f t="shared" si="55"/>
        <v/>
      </c>
      <c r="FA35" s="958" t="str">
        <f t="shared" ca="1" si="60"/>
        <v/>
      </c>
      <c r="FB35" s="134" t="str">
        <f t="shared" ca="1" si="56"/>
        <v/>
      </c>
      <c r="FC35" s="134">
        <f t="shared" ca="1" si="44"/>
        <v>0</v>
      </c>
      <c r="FD35" s="134">
        <f t="shared" ca="1" si="45"/>
        <v>0</v>
      </c>
      <c r="FE35" s="134">
        <f t="shared" ca="1" si="46"/>
        <v>0</v>
      </c>
      <c r="FF35" s="134">
        <f t="shared" ca="1" si="57"/>
        <v>0</v>
      </c>
      <c r="FN35" s="754" t="b">
        <v>0</v>
      </c>
      <c r="FO35" s="754" t="b">
        <f t="shared" si="47"/>
        <v>1</v>
      </c>
      <c r="FP35" s="754" t="b">
        <v>0</v>
      </c>
      <c r="FQ35" s="754" t="b">
        <f t="shared" si="58"/>
        <v>1</v>
      </c>
      <c r="FW35" s="2"/>
      <c r="FX35" s="2"/>
      <c r="FZ35" s="2"/>
      <c r="GA35" s="1761" t="str">
        <f t="shared" si="92"/>
        <v/>
      </c>
      <c r="GB35" s="1762" t="str">
        <f t="shared" si="93"/>
        <v/>
      </c>
      <c r="GC35" s="1763" t="str">
        <f t="shared" si="94"/>
        <v/>
      </c>
      <c r="GD35" s="1764" t="str">
        <f t="shared" si="95"/>
        <v/>
      </c>
      <c r="GE35" s="1765" t="str">
        <f t="shared" si="48"/>
        <v/>
      </c>
      <c r="GF35" s="582" t="str">
        <f t="shared" si="49"/>
        <v/>
      </c>
      <c r="GG35" s="692"/>
      <c r="GH35" s="1135"/>
      <c r="GI35" s="692"/>
      <c r="GJ35" s="1135"/>
      <c r="GK35" s="1640">
        <f t="shared" si="50"/>
        <v>0</v>
      </c>
      <c r="GL35" s="1640" t="e">
        <f t="shared" si="51"/>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61"/>
        <v>0</v>
      </c>
    </row>
    <row r="36" spans="1:272" ht="12.6" customHeight="1" x14ac:dyDescent="0.25">
      <c r="A36" s="1448" t="str">
        <f t="shared" si="65"/>
        <v/>
      </c>
      <c r="B36" s="1681"/>
      <c r="C36" s="1449"/>
      <c r="D36" s="1705" t="str">
        <f t="shared" si="66"/>
        <v/>
      </c>
      <c r="E36" s="1706" t="str">
        <f t="shared" si="67"/>
        <v/>
      </c>
      <c r="F36" s="1707" t="str">
        <f t="shared" si="68"/>
        <v/>
      </c>
      <c r="G36" s="1708" t="str">
        <f t="shared" si="69"/>
        <v/>
      </c>
      <c r="H36" s="1709" t="str">
        <f t="shared" si="70"/>
        <v/>
      </c>
      <c r="I36" s="1710" t="str">
        <f t="shared" si="71"/>
        <v/>
      </c>
      <c r="J36" s="1705" t="str">
        <f t="shared" si="62"/>
        <v/>
      </c>
      <c r="K36" s="1709" t="str">
        <f t="shared" si="63"/>
        <v/>
      </c>
      <c r="L36" s="1711" t="str">
        <f t="shared" si="64"/>
        <v/>
      </c>
      <c r="M36" s="1712" t="str">
        <f t="shared" si="72"/>
        <v/>
      </c>
      <c r="N36" s="1713" t="str">
        <f t="shared" si="72"/>
        <v/>
      </c>
      <c r="O36" s="1708" t="str">
        <f t="shared" si="73"/>
        <v/>
      </c>
      <c r="P36" s="1709" t="str">
        <f t="shared" si="74"/>
        <v/>
      </c>
      <c r="Q36" s="1705" t="str">
        <f t="shared" si="75"/>
        <v/>
      </c>
      <c r="R36" s="1706" t="str">
        <f t="shared" si="76"/>
        <v/>
      </c>
      <c r="S36" s="1714" t="str">
        <f t="shared" si="77"/>
        <v/>
      </c>
      <c r="T36" s="1709" t="str">
        <f t="shared" si="78"/>
        <v/>
      </c>
      <c r="U36" s="1705" t="str">
        <f t="shared" si="79"/>
        <v/>
      </c>
      <c r="V36" s="1709" t="str">
        <f t="shared" si="80"/>
        <v/>
      </c>
      <c r="W36" s="1713">
        <f t="shared" si="81"/>
        <v>0</v>
      </c>
      <c r="X36" s="1715" t="str">
        <f t="shared" si="0"/>
        <v/>
      </c>
      <c r="Y36" s="1716" t="str">
        <f t="shared" si="1"/>
        <v/>
      </c>
      <c r="Z36" s="1717" t="s">
        <v>116</v>
      </c>
      <c r="AA36" s="1776" t="str">
        <f t="shared" si="2"/>
        <v/>
      </c>
      <c r="AB36" s="1448" t="str">
        <f t="shared" si="82"/>
        <v/>
      </c>
      <c r="AC36" s="1710" t="str">
        <f t="shared" si="83"/>
        <v/>
      </c>
      <c r="AD36" s="1705" t="str">
        <f t="shared" ca="1" si="84"/>
        <v/>
      </c>
      <c r="AE36" s="1709" t="str">
        <f t="shared" ca="1" si="85"/>
        <v/>
      </c>
      <c r="AF36" s="1710" t="str">
        <f t="shared" ca="1" si="86"/>
        <v/>
      </c>
      <c r="AG36" s="1705" t="str">
        <f t="shared" ca="1" si="87"/>
        <v/>
      </c>
      <c r="AH36" s="1709" t="str">
        <f t="shared" ca="1" si="88"/>
        <v/>
      </c>
      <c r="AI36" s="1705" t="str">
        <f t="shared" ca="1" si="89"/>
        <v/>
      </c>
      <c r="AJ36" s="1709" t="str">
        <f t="shared" ca="1" si="90"/>
        <v/>
      </c>
      <c r="AK36" s="1747" t="str">
        <f t="shared" si="3"/>
        <v/>
      </c>
      <c r="AL36" s="1748" t="str">
        <f t="shared" si="91"/>
        <v/>
      </c>
      <c r="AM36" s="1749" t="str">
        <f t="shared" si="3"/>
        <v/>
      </c>
      <c r="AN36" s="1710" t="str">
        <f t="shared" si="3"/>
        <v/>
      </c>
      <c r="AO36" s="1713" t="str">
        <f t="shared" si="3"/>
        <v/>
      </c>
      <c r="AP36" s="1712" t="str">
        <f t="shared" si="4"/>
        <v/>
      </c>
      <c r="AQ36" s="1751" t="str">
        <f t="shared" si="4"/>
        <v/>
      </c>
      <c r="AR36" s="1708" t="str">
        <f t="shared" si="5"/>
        <v/>
      </c>
      <c r="AS36" s="1709" t="str">
        <f t="shared" si="6"/>
        <v/>
      </c>
      <c r="AT36" s="1752" t="str">
        <f t="shared" si="7"/>
        <v/>
      </c>
      <c r="AU36" s="1753" t="str">
        <f t="shared" si="8"/>
        <v/>
      </c>
      <c r="AV36" s="1714" t="str">
        <f t="shared" si="9"/>
        <v/>
      </c>
      <c r="AW36" s="1709" t="str">
        <f t="shared" si="10"/>
        <v/>
      </c>
      <c r="AX36" s="1752" t="str">
        <f t="shared" si="11"/>
        <v/>
      </c>
      <c r="AY36" s="1753" t="str">
        <f t="shared" si="12"/>
        <v/>
      </c>
      <c r="AZ36" s="1714" t="str">
        <f t="shared" si="13"/>
        <v/>
      </c>
      <c r="BA36" s="1709" t="str">
        <f t="shared" si="14"/>
        <v/>
      </c>
      <c r="BB36" s="1752" t="str">
        <f t="shared" si="15"/>
        <v/>
      </c>
      <c r="BC36" s="1753" t="str">
        <f t="shared" si="16"/>
        <v/>
      </c>
      <c r="BD36" s="1714" t="str">
        <f t="shared" si="17"/>
        <v/>
      </c>
      <c r="BE36" s="1709" t="str">
        <f t="shared" si="18"/>
        <v/>
      </c>
      <c r="BF36" s="1752" t="str">
        <f t="shared" si="19"/>
        <v/>
      </c>
      <c r="BG36" s="1753" t="str">
        <f t="shared" si="20"/>
        <v/>
      </c>
      <c r="BH36" s="1416"/>
      <c r="BJ36" s="995" t="str">
        <f t="shared" si="59"/>
        <v/>
      </c>
      <c r="BK36" s="993" t="b">
        <f t="shared" si="21"/>
        <v>0</v>
      </c>
      <c r="BL36" s="1800" t="b">
        <v>0</v>
      </c>
      <c r="BM36" s="989">
        <f t="shared" si="22"/>
        <v>0</v>
      </c>
      <c r="BN36" s="989">
        <f t="shared" si="23"/>
        <v>0</v>
      </c>
      <c r="BO36" s="989">
        <f t="shared" si="24"/>
        <v>0</v>
      </c>
      <c r="BP36" s="989">
        <f t="shared" si="25"/>
        <v>0</v>
      </c>
      <c r="BQ36" s="989">
        <f t="shared" si="26"/>
        <v>0</v>
      </c>
      <c r="BR36" s="989" t="b">
        <f t="shared" si="27"/>
        <v>1</v>
      </c>
      <c r="BS36" s="1302">
        <f t="shared" si="28"/>
        <v>6</v>
      </c>
      <c r="BT36" s="990" t="str">
        <f t="shared" si="29"/>
        <v>No</v>
      </c>
      <c r="BU36" s="1302">
        <f t="shared" si="30"/>
        <v>6</v>
      </c>
      <c r="BV36" s="990" t="str">
        <f t="shared" si="31"/>
        <v>No</v>
      </c>
      <c r="BW36" s="991">
        <f t="shared" ca="1" si="32"/>
        <v>0</v>
      </c>
      <c r="BX36" s="991" t="str">
        <f t="shared" ca="1" si="33"/>
        <v/>
      </c>
      <c r="BY36" s="991" t="b">
        <f t="shared" ca="1" si="34"/>
        <v>0</v>
      </c>
      <c r="BZ36" s="991" t="b">
        <f t="shared" si="52"/>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35"/>
        <v/>
      </c>
      <c r="EN36" s="1428" t="str">
        <f t="shared" si="36"/>
        <v/>
      </c>
      <c r="EO36" s="1429" t="str">
        <f t="shared" si="37"/>
        <v/>
      </c>
      <c r="EP36" s="1430" t="str">
        <f t="shared" si="38"/>
        <v/>
      </c>
      <c r="EQ36" s="1434" t="str">
        <f t="shared" si="39"/>
        <v/>
      </c>
      <c r="ER36" s="1440" t="str">
        <f t="shared" si="40"/>
        <v/>
      </c>
      <c r="ES36" s="1441" t="str">
        <f t="shared" si="41"/>
        <v/>
      </c>
      <c r="ET36" s="1442" t="str">
        <f t="shared" si="42"/>
        <v/>
      </c>
      <c r="EU36" s="1443" t="str">
        <f t="shared" si="53"/>
        <v/>
      </c>
      <c r="EX36" s="503" t="str">
        <f t="shared" ca="1" si="54"/>
        <v/>
      </c>
      <c r="EY36" s="940" t="str">
        <f t="shared" si="43"/>
        <v/>
      </c>
      <c r="EZ36" s="940" t="str">
        <f t="shared" si="55"/>
        <v/>
      </c>
      <c r="FA36" s="958" t="str">
        <f t="shared" ca="1" si="60"/>
        <v/>
      </c>
      <c r="FB36" s="134" t="str">
        <f t="shared" ca="1" si="56"/>
        <v/>
      </c>
      <c r="FC36" s="134">
        <f t="shared" ca="1" si="44"/>
        <v>0</v>
      </c>
      <c r="FD36" s="134">
        <f t="shared" ca="1" si="45"/>
        <v>0</v>
      </c>
      <c r="FE36" s="134">
        <f t="shared" ca="1" si="46"/>
        <v>0</v>
      </c>
      <c r="FF36" s="134">
        <f t="shared" ca="1" si="57"/>
        <v>0</v>
      </c>
      <c r="FN36" s="754" t="b">
        <v>0</v>
      </c>
      <c r="FO36" s="754" t="b">
        <f t="shared" si="47"/>
        <v>1</v>
      </c>
      <c r="FP36" s="754" t="b">
        <v>0</v>
      </c>
      <c r="FQ36" s="754" t="b">
        <f t="shared" si="58"/>
        <v>1</v>
      </c>
      <c r="FW36" s="2"/>
      <c r="FX36" s="2"/>
      <c r="FZ36" s="2"/>
      <c r="GA36" s="1761" t="str">
        <f t="shared" si="92"/>
        <v/>
      </c>
      <c r="GB36" s="1762" t="str">
        <f t="shared" si="93"/>
        <v/>
      </c>
      <c r="GC36" s="1763" t="str">
        <f t="shared" si="94"/>
        <v/>
      </c>
      <c r="GD36" s="1764" t="str">
        <f t="shared" si="95"/>
        <v/>
      </c>
      <c r="GE36" s="1765" t="str">
        <f t="shared" si="48"/>
        <v/>
      </c>
      <c r="GF36" s="582" t="str">
        <f t="shared" si="49"/>
        <v/>
      </c>
      <c r="GG36" s="692"/>
      <c r="GH36" s="1135"/>
      <c r="GI36" s="692"/>
      <c r="GJ36" s="1135"/>
      <c r="GK36" s="1640">
        <f t="shared" si="50"/>
        <v>0</v>
      </c>
      <c r="GL36" s="1640" t="e">
        <f t="shared" si="51"/>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61"/>
        <v>0</v>
      </c>
    </row>
    <row r="37" spans="1:272" ht="12.6" customHeight="1" x14ac:dyDescent="0.25">
      <c r="A37" s="1448" t="str">
        <f t="shared" si="65"/>
        <v/>
      </c>
      <c r="B37" s="1681"/>
      <c r="C37" s="1449"/>
      <c r="D37" s="1705" t="str">
        <f t="shared" si="66"/>
        <v/>
      </c>
      <c r="E37" s="1706" t="str">
        <f t="shared" si="67"/>
        <v/>
      </c>
      <c r="F37" s="1707" t="str">
        <f t="shared" si="68"/>
        <v/>
      </c>
      <c r="G37" s="1708" t="str">
        <f t="shared" si="69"/>
        <v/>
      </c>
      <c r="H37" s="1709" t="str">
        <f t="shared" si="70"/>
        <v/>
      </c>
      <c r="I37" s="1710" t="str">
        <f t="shared" si="71"/>
        <v/>
      </c>
      <c r="J37" s="1705" t="str">
        <f t="shared" si="62"/>
        <v/>
      </c>
      <c r="K37" s="1709" t="str">
        <f t="shared" si="63"/>
        <v/>
      </c>
      <c r="L37" s="1711" t="str">
        <f t="shared" si="64"/>
        <v/>
      </c>
      <c r="M37" s="1712" t="str">
        <f t="shared" si="72"/>
        <v/>
      </c>
      <c r="N37" s="1713" t="str">
        <f t="shared" si="72"/>
        <v/>
      </c>
      <c r="O37" s="1708" t="str">
        <f t="shared" si="73"/>
        <v/>
      </c>
      <c r="P37" s="1709" t="str">
        <f t="shared" si="74"/>
        <v/>
      </c>
      <c r="Q37" s="1705" t="str">
        <f t="shared" si="75"/>
        <v/>
      </c>
      <c r="R37" s="1706" t="str">
        <f t="shared" si="76"/>
        <v/>
      </c>
      <c r="S37" s="1714" t="str">
        <f t="shared" si="77"/>
        <v/>
      </c>
      <c r="T37" s="1709" t="str">
        <f t="shared" si="78"/>
        <v/>
      </c>
      <c r="U37" s="1705" t="str">
        <f t="shared" si="79"/>
        <v/>
      </c>
      <c r="V37" s="1709" t="str">
        <f t="shared" si="80"/>
        <v/>
      </c>
      <c r="W37" s="1713">
        <f t="shared" si="81"/>
        <v>0</v>
      </c>
      <c r="X37" s="1715" t="str">
        <f t="shared" si="0"/>
        <v/>
      </c>
      <c r="Y37" s="1716" t="str">
        <f t="shared" si="1"/>
        <v/>
      </c>
      <c r="Z37" s="1717" t="s">
        <v>116</v>
      </c>
      <c r="AA37" s="1776" t="str">
        <f t="shared" si="2"/>
        <v/>
      </c>
      <c r="AB37" s="1448" t="str">
        <f t="shared" si="82"/>
        <v/>
      </c>
      <c r="AC37" s="1710" t="str">
        <f t="shared" si="83"/>
        <v/>
      </c>
      <c r="AD37" s="1705" t="str">
        <f t="shared" ca="1" si="84"/>
        <v/>
      </c>
      <c r="AE37" s="1709" t="str">
        <f t="shared" ca="1" si="85"/>
        <v/>
      </c>
      <c r="AF37" s="1710" t="str">
        <f t="shared" ca="1" si="86"/>
        <v/>
      </c>
      <c r="AG37" s="1705" t="str">
        <f t="shared" ca="1" si="87"/>
        <v/>
      </c>
      <c r="AH37" s="1709" t="str">
        <f t="shared" ca="1" si="88"/>
        <v/>
      </c>
      <c r="AI37" s="1705" t="str">
        <f t="shared" ca="1" si="89"/>
        <v/>
      </c>
      <c r="AJ37" s="1709" t="str">
        <f t="shared" ca="1" si="90"/>
        <v/>
      </c>
      <c r="AK37" s="1747" t="str">
        <f t="shared" si="3"/>
        <v/>
      </c>
      <c r="AL37" s="1748" t="str">
        <f t="shared" si="91"/>
        <v/>
      </c>
      <c r="AM37" s="1749" t="str">
        <f t="shared" si="3"/>
        <v/>
      </c>
      <c r="AN37" s="1710" t="str">
        <f t="shared" si="3"/>
        <v/>
      </c>
      <c r="AO37" s="1713" t="str">
        <f t="shared" si="3"/>
        <v/>
      </c>
      <c r="AP37" s="1712" t="str">
        <f t="shared" si="4"/>
        <v/>
      </c>
      <c r="AQ37" s="1751" t="str">
        <f t="shared" si="4"/>
        <v/>
      </c>
      <c r="AR37" s="1708" t="str">
        <f t="shared" si="5"/>
        <v/>
      </c>
      <c r="AS37" s="1709" t="str">
        <f t="shared" si="6"/>
        <v/>
      </c>
      <c r="AT37" s="1752" t="str">
        <f t="shared" si="7"/>
        <v/>
      </c>
      <c r="AU37" s="1753" t="str">
        <f t="shared" si="8"/>
        <v/>
      </c>
      <c r="AV37" s="1714" t="str">
        <f t="shared" si="9"/>
        <v/>
      </c>
      <c r="AW37" s="1709" t="str">
        <f t="shared" si="10"/>
        <v/>
      </c>
      <c r="AX37" s="1752" t="str">
        <f t="shared" si="11"/>
        <v/>
      </c>
      <c r="AY37" s="1753" t="str">
        <f t="shared" si="12"/>
        <v/>
      </c>
      <c r="AZ37" s="1714" t="str">
        <f t="shared" si="13"/>
        <v/>
      </c>
      <c r="BA37" s="1709" t="str">
        <f t="shared" si="14"/>
        <v/>
      </c>
      <c r="BB37" s="1752" t="str">
        <f t="shared" si="15"/>
        <v/>
      </c>
      <c r="BC37" s="1753" t="str">
        <f t="shared" si="16"/>
        <v/>
      </c>
      <c r="BD37" s="1714" t="str">
        <f t="shared" si="17"/>
        <v/>
      </c>
      <c r="BE37" s="1709" t="str">
        <f t="shared" si="18"/>
        <v/>
      </c>
      <c r="BF37" s="1752" t="str">
        <f t="shared" si="19"/>
        <v/>
      </c>
      <c r="BG37" s="1753" t="str">
        <f t="shared" si="20"/>
        <v/>
      </c>
      <c r="BH37" s="1416"/>
      <c r="BJ37" s="995" t="str">
        <f t="shared" si="59"/>
        <v/>
      </c>
      <c r="BK37" s="993" t="b">
        <f t="shared" si="21"/>
        <v>0</v>
      </c>
      <c r="BL37" s="1800" t="b">
        <v>0</v>
      </c>
      <c r="BM37" s="989">
        <f t="shared" si="22"/>
        <v>0</v>
      </c>
      <c r="BN37" s="989">
        <f t="shared" si="23"/>
        <v>0</v>
      </c>
      <c r="BO37" s="989">
        <f t="shared" si="24"/>
        <v>0</v>
      </c>
      <c r="BP37" s="989">
        <f t="shared" si="25"/>
        <v>0</v>
      </c>
      <c r="BQ37" s="989">
        <f t="shared" si="26"/>
        <v>0</v>
      </c>
      <c r="BR37" s="989" t="b">
        <f t="shared" si="27"/>
        <v>1</v>
      </c>
      <c r="BS37" s="1302">
        <f t="shared" si="28"/>
        <v>6</v>
      </c>
      <c r="BT37" s="990" t="str">
        <f t="shared" si="29"/>
        <v>No</v>
      </c>
      <c r="BU37" s="1302">
        <f t="shared" si="30"/>
        <v>6</v>
      </c>
      <c r="BV37" s="990" t="str">
        <f t="shared" si="31"/>
        <v>No</v>
      </c>
      <c r="BW37" s="991">
        <f t="shared" ca="1" si="32"/>
        <v>0</v>
      </c>
      <c r="BX37" s="991" t="str">
        <f t="shared" ca="1" si="33"/>
        <v/>
      </c>
      <c r="BY37" s="991" t="b">
        <f t="shared" ca="1" si="34"/>
        <v>0</v>
      </c>
      <c r="BZ37" s="991" t="b">
        <f t="shared" si="52"/>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35"/>
        <v/>
      </c>
      <c r="EN37" s="1428" t="str">
        <f t="shared" si="36"/>
        <v/>
      </c>
      <c r="EO37" s="1429" t="str">
        <f t="shared" si="37"/>
        <v/>
      </c>
      <c r="EP37" s="1430" t="str">
        <f t="shared" si="38"/>
        <v/>
      </c>
      <c r="EQ37" s="1434" t="str">
        <f t="shared" si="39"/>
        <v/>
      </c>
      <c r="ER37" s="1440" t="str">
        <f t="shared" si="40"/>
        <v/>
      </c>
      <c r="ES37" s="1441" t="str">
        <f t="shared" si="41"/>
        <v/>
      </c>
      <c r="ET37" s="1442" t="str">
        <f t="shared" si="42"/>
        <v/>
      </c>
      <c r="EU37" s="1443" t="str">
        <f t="shared" si="53"/>
        <v/>
      </c>
      <c r="EX37" s="503" t="str">
        <f t="shared" ca="1" si="54"/>
        <v/>
      </c>
      <c r="EY37" s="940" t="str">
        <f t="shared" si="43"/>
        <v/>
      </c>
      <c r="EZ37" s="940" t="str">
        <f t="shared" si="55"/>
        <v/>
      </c>
      <c r="FA37" s="958" t="str">
        <f t="shared" ca="1" si="60"/>
        <v/>
      </c>
      <c r="FB37" s="134" t="str">
        <f t="shared" ca="1" si="56"/>
        <v/>
      </c>
      <c r="FC37" s="134">
        <f t="shared" ca="1" si="44"/>
        <v>0</v>
      </c>
      <c r="FD37" s="134">
        <f t="shared" ca="1" si="45"/>
        <v>0</v>
      </c>
      <c r="FE37" s="134">
        <f t="shared" ca="1" si="46"/>
        <v>0</v>
      </c>
      <c r="FF37" s="134">
        <f t="shared" ca="1" si="57"/>
        <v>0</v>
      </c>
      <c r="FN37" s="754" t="b">
        <v>0</v>
      </c>
      <c r="FO37" s="754" t="b">
        <f t="shared" si="47"/>
        <v>1</v>
      </c>
      <c r="FP37" s="754" t="b">
        <v>0</v>
      </c>
      <c r="FQ37" s="754" t="b">
        <f t="shared" si="58"/>
        <v>1</v>
      </c>
      <c r="FW37" s="2"/>
      <c r="FX37" s="2"/>
      <c r="FZ37" s="2"/>
      <c r="GA37" s="1761" t="str">
        <f t="shared" si="92"/>
        <v/>
      </c>
      <c r="GB37" s="1762" t="str">
        <f t="shared" si="93"/>
        <v/>
      </c>
      <c r="GC37" s="1763" t="str">
        <f t="shared" si="94"/>
        <v/>
      </c>
      <c r="GD37" s="1764" t="str">
        <f t="shared" si="95"/>
        <v/>
      </c>
      <c r="GE37" s="1765" t="str">
        <f t="shared" si="48"/>
        <v/>
      </c>
      <c r="GF37" s="582" t="str">
        <f t="shared" si="49"/>
        <v/>
      </c>
      <c r="GG37" s="692"/>
      <c r="GH37" s="1135"/>
      <c r="GI37" s="692"/>
      <c r="GJ37" s="1135"/>
      <c r="GK37" s="1640">
        <f t="shared" si="50"/>
        <v>0</v>
      </c>
      <c r="GL37" s="1640" t="e">
        <f t="shared" si="51"/>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61"/>
        <v>0</v>
      </c>
    </row>
    <row r="38" spans="1:272" ht="12.6" customHeight="1" x14ac:dyDescent="0.25">
      <c r="A38" s="1448" t="str">
        <f t="shared" si="65"/>
        <v/>
      </c>
      <c r="B38" s="1681"/>
      <c r="C38" s="1449"/>
      <c r="D38" s="1705" t="str">
        <f t="shared" si="66"/>
        <v/>
      </c>
      <c r="E38" s="1706" t="str">
        <f t="shared" si="67"/>
        <v/>
      </c>
      <c r="F38" s="1707" t="str">
        <f t="shared" si="68"/>
        <v/>
      </c>
      <c r="G38" s="1708" t="str">
        <f t="shared" si="69"/>
        <v/>
      </c>
      <c r="H38" s="1709" t="str">
        <f t="shared" si="70"/>
        <v/>
      </c>
      <c r="I38" s="1710" t="str">
        <f t="shared" si="71"/>
        <v/>
      </c>
      <c r="J38" s="1705" t="str">
        <f t="shared" si="62"/>
        <v/>
      </c>
      <c r="K38" s="1709" t="str">
        <f t="shared" si="63"/>
        <v/>
      </c>
      <c r="L38" s="1711" t="str">
        <f t="shared" si="64"/>
        <v/>
      </c>
      <c r="M38" s="1712" t="str">
        <f t="shared" si="72"/>
        <v/>
      </c>
      <c r="N38" s="1713" t="str">
        <f t="shared" si="72"/>
        <v/>
      </c>
      <c r="O38" s="1708" t="str">
        <f t="shared" si="73"/>
        <v/>
      </c>
      <c r="P38" s="1709" t="str">
        <f t="shared" si="74"/>
        <v/>
      </c>
      <c r="Q38" s="1705" t="str">
        <f t="shared" si="75"/>
        <v/>
      </c>
      <c r="R38" s="1706" t="str">
        <f t="shared" si="76"/>
        <v/>
      </c>
      <c r="S38" s="1714" t="str">
        <f t="shared" si="77"/>
        <v/>
      </c>
      <c r="T38" s="1709" t="str">
        <f t="shared" si="78"/>
        <v/>
      </c>
      <c r="U38" s="1705" t="str">
        <f t="shared" si="79"/>
        <v/>
      </c>
      <c r="V38" s="1709" t="str">
        <f t="shared" si="80"/>
        <v/>
      </c>
      <c r="W38" s="1713">
        <f t="shared" si="81"/>
        <v>0</v>
      </c>
      <c r="X38" s="1715" t="str">
        <f t="shared" si="0"/>
        <v/>
      </c>
      <c r="Y38" s="1716" t="str">
        <f t="shared" si="1"/>
        <v/>
      </c>
      <c r="Z38" s="1717" t="s">
        <v>116</v>
      </c>
      <c r="AA38" s="1776" t="str">
        <f t="shared" si="2"/>
        <v/>
      </c>
      <c r="AB38" s="1448" t="str">
        <f t="shared" si="82"/>
        <v/>
      </c>
      <c r="AC38" s="1710" t="str">
        <f t="shared" si="83"/>
        <v/>
      </c>
      <c r="AD38" s="1705" t="str">
        <f t="shared" ca="1" si="84"/>
        <v/>
      </c>
      <c r="AE38" s="1709" t="str">
        <f t="shared" ca="1" si="85"/>
        <v/>
      </c>
      <c r="AF38" s="1710" t="str">
        <f t="shared" ca="1" si="86"/>
        <v/>
      </c>
      <c r="AG38" s="1705" t="str">
        <f t="shared" ca="1" si="87"/>
        <v/>
      </c>
      <c r="AH38" s="1709" t="str">
        <f t="shared" ca="1" si="88"/>
        <v/>
      </c>
      <c r="AI38" s="1705" t="str">
        <f t="shared" ca="1" si="89"/>
        <v/>
      </c>
      <c r="AJ38" s="1709" t="str">
        <f t="shared" ca="1" si="90"/>
        <v/>
      </c>
      <c r="AK38" s="1747" t="str">
        <f t="shared" si="3"/>
        <v/>
      </c>
      <c r="AL38" s="1748" t="str">
        <f t="shared" si="91"/>
        <v/>
      </c>
      <c r="AM38" s="1749" t="str">
        <f t="shared" si="3"/>
        <v/>
      </c>
      <c r="AN38" s="1710" t="str">
        <f t="shared" si="3"/>
        <v/>
      </c>
      <c r="AO38" s="1713" t="str">
        <f t="shared" si="3"/>
        <v/>
      </c>
      <c r="AP38" s="1712" t="str">
        <f t="shared" si="4"/>
        <v/>
      </c>
      <c r="AQ38" s="1751" t="str">
        <f t="shared" si="4"/>
        <v/>
      </c>
      <c r="AR38" s="1708" t="str">
        <f t="shared" si="5"/>
        <v/>
      </c>
      <c r="AS38" s="1709" t="str">
        <f t="shared" si="6"/>
        <v/>
      </c>
      <c r="AT38" s="1752" t="str">
        <f t="shared" si="7"/>
        <v/>
      </c>
      <c r="AU38" s="1753" t="str">
        <f t="shared" si="8"/>
        <v/>
      </c>
      <c r="AV38" s="1714" t="str">
        <f t="shared" si="9"/>
        <v/>
      </c>
      <c r="AW38" s="1709" t="str">
        <f t="shared" si="10"/>
        <v/>
      </c>
      <c r="AX38" s="1752" t="str">
        <f t="shared" si="11"/>
        <v/>
      </c>
      <c r="AY38" s="1753" t="str">
        <f t="shared" si="12"/>
        <v/>
      </c>
      <c r="AZ38" s="1714" t="str">
        <f t="shared" si="13"/>
        <v/>
      </c>
      <c r="BA38" s="1709" t="str">
        <f t="shared" si="14"/>
        <v/>
      </c>
      <c r="BB38" s="1752" t="str">
        <f t="shared" si="15"/>
        <v/>
      </c>
      <c r="BC38" s="1753" t="str">
        <f t="shared" si="16"/>
        <v/>
      </c>
      <c r="BD38" s="1714" t="str">
        <f t="shared" si="17"/>
        <v/>
      </c>
      <c r="BE38" s="1709" t="str">
        <f t="shared" si="18"/>
        <v/>
      </c>
      <c r="BF38" s="1752" t="str">
        <f t="shared" si="19"/>
        <v/>
      </c>
      <c r="BG38" s="1753" t="str">
        <f t="shared" si="20"/>
        <v/>
      </c>
      <c r="BH38" s="1416"/>
      <c r="BJ38" s="995" t="str">
        <f t="shared" si="59"/>
        <v/>
      </c>
      <c r="BK38" s="993" t="b">
        <f t="shared" si="21"/>
        <v>0</v>
      </c>
      <c r="BL38" s="1800" t="b">
        <v>0</v>
      </c>
      <c r="BM38" s="989">
        <f t="shared" si="22"/>
        <v>0</v>
      </c>
      <c r="BN38" s="989">
        <f t="shared" si="23"/>
        <v>0</v>
      </c>
      <c r="BO38" s="989">
        <f t="shared" si="24"/>
        <v>0</v>
      </c>
      <c r="BP38" s="989">
        <f t="shared" si="25"/>
        <v>0</v>
      </c>
      <c r="BQ38" s="989">
        <f t="shared" si="26"/>
        <v>0</v>
      </c>
      <c r="BR38" s="989" t="b">
        <f t="shared" si="27"/>
        <v>1</v>
      </c>
      <c r="BS38" s="1302">
        <f t="shared" si="28"/>
        <v>6</v>
      </c>
      <c r="BT38" s="990" t="str">
        <f t="shared" si="29"/>
        <v>No</v>
      </c>
      <c r="BU38" s="1302">
        <f t="shared" si="30"/>
        <v>6</v>
      </c>
      <c r="BV38" s="990" t="str">
        <f t="shared" si="31"/>
        <v>No</v>
      </c>
      <c r="BW38" s="991">
        <f t="shared" ca="1" si="32"/>
        <v>0</v>
      </c>
      <c r="BX38" s="991" t="str">
        <f t="shared" ca="1" si="33"/>
        <v/>
      </c>
      <c r="BY38" s="991" t="b">
        <f t="shared" ca="1" si="34"/>
        <v>0</v>
      </c>
      <c r="BZ38" s="991" t="b">
        <f t="shared" si="52"/>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35"/>
        <v/>
      </c>
      <c r="EN38" s="1428" t="str">
        <f t="shared" si="36"/>
        <v/>
      </c>
      <c r="EO38" s="1429" t="str">
        <f t="shared" si="37"/>
        <v/>
      </c>
      <c r="EP38" s="1430" t="str">
        <f t="shared" si="38"/>
        <v/>
      </c>
      <c r="EQ38" s="1434" t="str">
        <f t="shared" si="39"/>
        <v/>
      </c>
      <c r="ER38" s="1440" t="str">
        <f t="shared" si="40"/>
        <v/>
      </c>
      <c r="ES38" s="1441" t="str">
        <f t="shared" si="41"/>
        <v/>
      </c>
      <c r="ET38" s="1442" t="str">
        <f t="shared" si="42"/>
        <v/>
      </c>
      <c r="EU38" s="1443" t="str">
        <f t="shared" si="53"/>
        <v/>
      </c>
      <c r="EX38" s="503" t="str">
        <f t="shared" ca="1" si="54"/>
        <v/>
      </c>
      <c r="EY38" s="940" t="str">
        <f t="shared" si="43"/>
        <v/>
      </c>
      <c r="EZ38" s="940" t="str">
        <f t="shared" si="55"/>
        <v/>
      </c>
      <c r="FA38" s="958" t="str">
        <f t="shared" ca="1" si="60"/>
        <v/>
      </c>
      <c r="FB38" s="134" t="str">
        <f t="shared" ca="1" si="56"/>
        <v/>
      </c>
      <c r="FC38" s="134">
        <f t="shared" ca="1" si="44"/>
        <v>0</v>
      </c>
      <c r="FD38" s="134">
        <f t="shared" ca="1" si="45"/>
        <v>0</v>
      </c>
      <c r="FE38" s="134">
        <f t="shared" ca="1" si="46"/>
        <v>0</v>
      </c>
      <c r="FF38" s="134">
        <f t="shared" ca="1" si="57"/>
        <v>0</v>
      </c>
      <c r="FN38" s="754" t="b">
        <v>0</v>
      </c>
      <c r="FO38" s="754" t="b">
        <f t="shared" si="47"/>
        <v>1</v>
      </c>
      <c r="FP38" s="754" t="b">
        <v>0</v>
      </c>
      <c r="FQ38" s="754" t="b">
        <f t="shared" si="58"/>
        <v>1</v>
      </c>
      <c r="FW38" s="2"/>
      <c r="FX38" s="2"/>
      <c r="FZ38" s="2"/>
      <c r="GA38" s="1761" t="str">
        <f t="shared" si="92"/>
        <v/>
      </c>
      <c r="GB38" s="1762" t="str">
        <f t="shared" si="93"/>
        <v/>
      </c>
      <c r="GC38" s="1763" t="str">
        <f t="shared" si="94"/>
        <v/>
      </c>
      <c r="GD38" s="1764" t="str">
        <f t="shared" si="95"/>
        <v/>
      </c>
      <c r="GE38" s="1765" t="str">
        <f t="shared" si="48"/>
        <v/>
      </c>
      <c r="GF38" s="582" t="str">
        <f t="shared" si="49"/>
        <v/>
      </c>
      <c r="GG38" s="692"/>
      <c r="GH38" s="1135"/>
      <c r="GI38" s="692"/>
      <c r="GJ38" s="1135"/>
      <c r="GK38" s="1640">
        <f t="shared" si="50"/>
        <v>0</v>
      </c>
      <c r="GL38" s="1640" t="e">
        <f t="shared" si="51"/>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61"/>
        <v>0</v>
      </c>
    </row>
    <row r="39" spans="1:272" ht="12.6" customHeight="1" x14ac:dyDescent="0.25">
      <c r="A39" s="1448" t="str">
        <f t="shared" si="65"/>
        <v/>
      </c>
      <c r="B39" s="1681"/>
      <c r="C39" s="1449"/>
      <c r="D39" s="1705" t="str">
        <f t="shared" si="66"/>
        <v/>
      </c>
      <c r="E39" s="1706" t="str">
        <f t="shared" si="67"/>
        <v/>
      </c>
      <c r="F39" s="1707" t="str">
        <f t="shared" si="68"/>
        <v/>
      </c>
      <c r="G39" s="1708" t="str">
        <f t="shared" si="69"/>
        <v/>
      </c>
      <c r="H39" s="1709" t="str">
        <f t="shared" si="70"/>
        <v/>
      </c>
      <c r="I39" s="1710" t="str">
        <f t="shared" si="71"/>
        <v/>
      </c>
      <c r="J39" s="1705" t="str">
        <f t="shared" si="62"/>
        <v/>
      </c>
      <c r="K39" s="1709" t="str">
        <f t="shared" si="63"/>
        <v/>
      </c>
      <c r="L39" s="1711" t="str">
        <f t="shared" si="64"/>
        <v/>
      </c>
      <c r="M39" s="1712" t="str">
        <f t="shared" si="72"/>
        <v/>
      </c>
      <c r="N39" s="1713" t="str">
        <f t="shared" si="72"/>
        <v/>
      </c>
      <c r="O39" s="1708" t="str">
        <f t="shared" si="73"/>
        <v/>
      </c>
      <c r="P39" s="1709" t="str">
        <f t="shared" si="74"/>
        <v/>
      </c>
      <c r="Q39" s="1705" t="str">
        <f t="shared" si="75"/>
        <v/>
      </c>
      <c r="R39" s="1706" t="str">
        <f t="shared" si="76"/>
        <v/>
      </c>
      <c r="S39" s="1714" t="str">
        <f t="shared" si="77"/>
        <v/>
      </c>
      <c r="T39" s="1709" t="str">
        <f t="shared" si="78"/>
        <v/>
      </c>
      <c r="U39" s="1705" t="str">
        <f t="shared" si="79"/>
        <v/>
      </c>
      <c r="V39" s="1709" t="str">
        <f t="shared" si="80"/>
        <v/>
      </c>
      <c r="W39" s="1713">
        <f t="shared" si="81"/>
        <v>0</v>
      </c>
      <c r="X39" s="1715" t="str">
        <f t="shared" si="0"/>
        <v/>
      </c>
      <c r="Y39" s="1716" t="str">
        <f t="shared" si="1"/>
        <v/>
      </c>
      <c r="Z39" s="1717" t="s">
        <v>116</v>
      </c>
      <c r="AA39" s="1776" t="str">
        <f t="shared" si="2"/>
        <v/>
      </c>
      <c r="AB39" s="1448" t="str">
        <f t="shared" si="82"/>
        <v/>
      </c>
      <c r="AC39" s="1710" t="str">
        <f t="shared" si="83"/>
        <v/>
      </c>
      <c r="AD39" s="1705" t="str">
        <f t="shared" ca="1" si="84"/>
        <v/>
      </c>
      <c r="AE39" s="1709" t="str">
        <f t="shared" ca="1" si="85"/>
        <v/>
      </c>
      <c r="AF39" s="1710" t="str">
        <f t="shared" ca="1" si="86"/>
        <v/>
      </c>
      <c r="AG39" s="1705" t="str">
        <f t="shared" ca="1" si="87"/>
        <v/>
      </c>
      <c r="AH39" s="1709" t="str">
        <f t="shared" ca="1" si="88"/>
        <v/>
      </c>
      <c r="AI39" s="1705" t="str">
        <f t="shared" ca="1" si="89"/>
        <v/>
      </c>
      <c r="AJ39" s="1709" t="str">
        <f t="shared" ca="1" si="90"/>
        <v/>
      </c>
      <c r="AK39" s="1747" t="str">
        <f t="shared" si="3"/>
        <v/>
      </c>
      <c r="AL39" s="1748" t="str">
        <f t="shared" si="91"/>
        <v/>
      </c>
      <c r="AM39" s="1749" t="str">
        <f t="shared" si="3"/>
        <v/>
      </c>
      <c r="AN39" s="1710" t="str">
        <f t="shared" si="3"/>
        <v/>
      </c>
      <c r="AO39" s="1713" t="str">
        <f t="shared" si="3"/>
        <v/>
      </c>
      <c r="AP39" s="1712" t="str">
        <f t="shared" si="4"/>
        <v/>
      </c>
      <c r="AQ39" s="1751" t="str">
        <f t="shared" si="4"/>
        <v/>
      </c>
      <c r="AR39" s="1708" t="str">
        <f t="shared" si="5"/>
        <v/>
      </c>
      <c r="AS39" s="1709" t="str">
        <f t="shared" si="6"/>
        <v/>
      </c>
      <c r="AT39" s="1752" t="str">
        <f t="shared" si="7"/>
        <v/>
      </c>
      <c r="AU39" s="1753" t="str">
        <f t="shared" si="8"/>
        <v/>
      </c>
      <c r="AV39" s="1714" t="str">
        <f t="shared" si="9"/>
        <v/>
      </c>
      <c r="AW39" s="1709" t="str">
        <f t="shared" si="10"/>
        <v/>
      </c>
      <c r="AX39" s="1752" t="str">
        <f t="shared" si="11"/>
        <v/>
      </c>
      <c r="AY39" s="1753" t="str">
        <f t="shared" si="12"/>
        <v/>
      </c>
      <c r="AZ39" s="1714" t="str">
        <f t="shared" si="13"/>
        <v/>
      </c>
      <c r="BA39" s="1709" t="str">
        <f t="shared" si="14"/>
        <v/>
      </c>
      <c r="BB39" s="1752" t="str">
        <f t="shared" si="15"/>
        <v/>
      </c>
      <c r="BC39" s="1753" t="str">
        <f t="shared" si="16"/>
        <v/>
      </c>
      <c r="BD39" s="1714" t="str">
        <f t="shared" si="17"/>
        <v/>
      </c>
      <c r="BE39" s="1709" t="str">
        <f t="shared" si="18"/>
        <v/>
      </c>
      <c r="BF39" s="1752" t="str">
        <f t="shared" si="19"/>
        <v/>
      </c>
      <c r="BG39" s="1753" t="str">
        <f t="shared" si="20"/>
        <v/>
      </c>
      <c r="BH39" s="1416"/>
      <c r="BJ39" s="995" t="str">
        <f t="shared" si="59"/>
        <v/>
      </c>
      <c r="BK39" s="993" t="b">
        <f t="shared" si="21"/>
        <v>0</v>
      </c>
      <c r="BL39" s="1800" t="b">
        <v>0</v>
      </c>
      <c r="BM39" s="989">
        <f t="shared" si="22"/>
        <v>0</v>
      </c>
      <c r="BN39" s="989">
        <f t="shared" si="23"/>
        <v>0</v>
      </c>
      <c r="BO39" s="989">
        <f t="shared" si="24"/>
        <v>0</v>
      </c>
      <c r="BP39" s="989">
        <f t="shared" si="25"/>
        <v>0</v>
      </c>
      <c r="BQ39" s="989">
        <f t="shared" si="26"/>
        <v>0</v>
      </c>
      <c r="BR39" s="989" t="b">
        <f t="shared" si="27"/>
        <v>1</v>
      </c>
      <c r="BS39" s="1302">
        <f t="shared" si="28"/>
        <v>6</v>
      </c>
      <c r="BT39" s="990" t="str">
        <f t="shared" si="29"/>
        <v>No</v>
      </c>
      <c r="BU39" s="1302">
        <f t="shared" si="30"/>
        <v>6</v>
      </c>
      <c r="BV39" s="990" t="str">
        <f t="shared" si="31"/>
        <v>No</v>
      </c>
      <c r="BW39" s="991">
        <f t="shared" ca="1" si="32"/>
        <v>0</v>
      </c>
      <c r="BX39" s="991" t="str">
        <f t="shared" ca="1" si="33"/>
        <v/>
      </c>
      <c r="BY39" s="991" t="b">
        <f t="shared" ca="1" si="34"/>
        <v>0</v>
      </c>
      <c r="BZ39" s="991" t="b">
        <f t="shared" si="52"/>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35"/>
        <v/>
      </c>
      <c r="EN39" s="1428" t="str">
        <f t="shared" si="36"/>
        <v/>
      </c>
      <c r="EO39" s="1429" t="str">
        <f t="shared" si="37"/>
        <v/>
      </c>
      <c r="EP39" s="1430" t="str">
        <f t="shared" si="38"/>
        <v/>
      </c>
      <c r="EQ39" s="1434" t="str">
        <f t="shared" si="39"/>
        <v/>
      </c>
      <c r="ER39" s="1440" t="str">
        <f t="shared" si="40"/>
        <v/>
      </c>
      <c r="ES39" s="1441" t="str">
        <f t="shared" si="41"/>
        <v/>
      </c>
      <c r="ET39" s="1442" t="str">
        <f t="shared" si="42"/>
        <v/>
      </c>
      <c r="EU39" s="1443" t="str">
        <f t="shared" si="53"/>
        <v/>
      </c>
      <c r="EX39" s="503" t="str">
        <f t="shared" ca="1" si="54"/>
        <v/>
      </c>
      <c r="EY39" s="940" t="str">
        <f t="shared" si="43"/>
        <v/>
      </c>
      <c r="EZ39" s="940" t="str">
        <f t="shared" si="55"/>
        <v/>
      </c>
      <c r="FA39" s="958" t="str">
        <f t="shared" ca="1" si="60"/>
        <v/>
      </c>
      <c r="FB39" s="134" t="str">
        <f t="shared" ca="1" si="56"/>
        <v/>
      </c>
      <c r="FC39" s="134">
        <f t="shared" ca="1" si="44"/>
        <v>0</v>
      </c>
      <c r="FD39" s="134">
        <f t="shared" ca="1" si="45"/>
        <v>0</v>
      </c>
      <c r="FE39" s="134">
        <f t="shared" ca="1" si="46"/>
        <v>0</v>
      </c>
      <c r="FF39" s="134">
        <f t="shared" ca="1" si="57"/>
        <v>0</v>
      </c>
      <c r="FN39" s="754" t="b">
        <v>0</v>
      </c>
      <c r="FO39" s="754" t="b">
        <f t="shared" si="47"/>
        <v>1</v>
      </c>
      <c r="FP39" s="754" t="b">
        <v>0</v>
      </c>
      <c r="FQ39" s="754" t="b">
        <f t="shared" si="58"/>
        <v>1</v>
      </c>
      <c r="FW39" s="2"/>
      <c r="FX39" s="2"/>
      <c r="FZ39" s="2"/>
      <c r="GA39" s="1761" t="str">
        <f t="shared" si="92"/>
        <v/>
      </c>
      <c r="GB39" s="1762" t="str">
        <f t="shared" si="93"/>
        <v/>
      </c>
      <c r="GC39" s="1763" t="str">
        <f t="shared" si="94"/>
        <v/>
      </c>
      <c r="GD39" s="1764" t="str">
        <f t="shared" si="95"/>
        <v/>
      </c>
      <c r="GE39" s="1765" t="str">
        <f t="shared" si="48"/>
        <v/>
      </c>
      <c r="GF39" s="582" t="str">
        <f t="shared" si="49"/>
        <v/>
      </c>
      <c r="GG39" s="692"/>
      <c r="GH39" s="1135"/>
      <c r="GI39" s="692"/>
      <c r="GJ39" s="1135"/>
      <c r="GK39" s="1640">
        <f t="shared" si="50"/>
        <v>0</v>
      </c>
      <c r="GL39" s="1640" t="e">
        <f t="shared" si="51"/>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61"/>
        <v>0</v>
      </c>
    </row>
    <row r="40" spans="1:272" ht="12.6" customHeight="1" x14ac:dyDescent="0.25">
      <c r="A40" s="1448" t="str">
        <f t="shared" si="65"/>
        <v/>
      </c>
      <c r="B40" s="1681"/>
      <c r="C40" s="1449"/>
      <c r="D40" s="1705" t="str">
        <f t="shared" si="66"/>
        <v/>
      </c>
      <c r="E40" s="1706" t="str">
        <f t="shared" si="67"/>
        <v/>
      </c>
      <c r="F40" s="1707" t="str">
        <f t="shared" si="68"/>
        <v/>
      </c>
      <c r="G40" s="1708" t="str">
        <f t="shared" si="69"/>
        <v/>
      </c>
      <c r="H40" s="1709" t="str">
        <f t="shared" si="70"/>
        <v/>
      </c>
      <c r="I40" s="1710" t="str">
        <f t="shared" si="71"/>
        <v/>
      </c>
      <c r="J40" s="1705" t="str">
        <f t="shared" si="62"/>
        <v/>
      </c>
      <c r="K40" s="1709" t="str">
        <f t="shared" si="63"/>
        <v/>
      </c>
      <c r="L40" s="1711" t="str">
        <f t="shared" si="64"/>
        <v/>
      </c>
      <c r="M40" s="1712" t="str">
        <f t="shared" si="72"/>
        <v/>
      </c>
      <c r="N40" s="1713" t="str">
        <f t="shared" si="72"/>
        <v/>
      </c>
      <c r="O40" s="1708" t="str">
        <f t="shared" si="73"/>
        <v/>
      </c>
      <c r="P40" s="1709" t="str">
        <f t="shared" si="74"/>
        <v/>
      </c>
      <c r="Q40" s="1705" t="str">
        <f t="shared" si="75"/>
        <v/>
      </c>
      <c r="R40" s="1706" t="str">
        <f t="shared" si="76"/>
        <v/>
      </c>
      <c r="S40" s="1714" t="str">
        <f t="shared" si="77"/>
        <v/>
      </c>
      <c r="T40" s="1709" t="str">
        <f t="shared" si="78"/>
        <v/>
      </c>
      <c r="U40" s="1705" t="str">
        <f t="shared" si="79"/>
        <v/>
      </c>
      <c r="V40" s="1709" t="str">
        <f t="shared" si="80"/>
        <v/>
      </c>
      <c r="W40" s="1713">
        <f t="shared" si="81"/>
        <v>0</v>
      </c>
      <c r="X40" s="1715" t="str">
        <f t="shared" si="0"/>
        <v/>
      </c>
      <c r="Y40" s="1716" t="str">
        <f t="shared" si="1"/>
        <v/>
      </c>
      <c r="Z40" s="1717" t="s">
        <v>116</v>
      </c>
      <c r="AA40" s="1776" t="str">
        <f t="shared" si="2"/>
        <v/>
      </c>
      <c r="AB40" s="1448" t="str">
        <f t="shared" si="82"/>
        <v/>
      </c>
      <c r="AC40" s="1710" t="str">
        <f t="shared" si="83"/>
        <v/>
      </c>
      <c r="AD40" s="1705" t="str">
        <f t="shared" ca="1" si="84"/>
        <v/>
      </c>
      <c r="AE40" s="1709" t="str">
        <f t="shared" ca="1" si="85"/>
        <v/>
      </c>
      <c r="AF40" s="1710" t="str">
        <f t="shared" ca="1" si="86"/>
        <v/>
      </c>
      <c r="AG40" s="1705" t="str">
        <f t="shared" ca="1" si="87"/>
        <v/>
      </c>
      <c r="AH40" s="1709" t="str">
        <f t="shared" ca="1" si="88"/>
        <v/>
      </c>
      <c r="AI40" s="1705" t="str">
        <f t="shared" ca="1" si="89"/>
        <v/>
      </c>
      <c r="AJ40" s="1709" t="str">
        <f t="shared" ca="1" si="90"/>
        <v/>
      </c>
      <c r="AK40" s="1747" t="str">
        <f t="shared" si="3"/>
        <v/>
      </c>
      <c r="AL40" s="1748" t="str">
        <f t="shared" si="91"/>
        <v/>
      </c>
      <c r="AM40" s="1749" t="str">
        <f t="shared" si="3"/>
        <v/>
      </c>
      <c r="AN40" s="1710" t="str">
        <f t="shared" si="3"/>
        <v/>
      </c>
      <c r="AO40" s="1713" t="str">
        <f t="shared" si="3"/>
        <v/>
      </c>
      <c r="AP40" s="1712" t="str">
        <f t="shared" si="4"/>
        <v/>
      </c>
      <c r="AQ40" s="1751" t="str">
        <f t="shared" si="4"/>
        <v/>
      </c>
      <c r="AR40" s="1708" t="str">
        <f t="shared" si="5"/>
        <v/>
      </c>
      <c r="AS40" s="1709" t="str">
        <f t="shared" si="6"/>
        <v/>
      </c>
      <c r="AT40" s="1752" t="str">
        <f t="shared" si="7"/>
        <v/>
      </c>
      <c r="AU40" s="1753" t="str">
        <f t="shared" si="8"/>
        <v/>
      </c>
      <c r="AV40" s="1714" t="str">
        <f t="shared" si="9"/>
        <v/>
      </c>
      <c r="AW40" s="1709" t="str">
        <f t="shared" si="10"/>
        <v/>
      </c>
      <c r="AX40" s="1752" t="str">
        <f t="shared" si="11"/>
        <v/>
      </c>
      <c r="AY40" s="1753" t="str">
        <f t="shared" si="12"/>
        <v/>
      </c>
      <c r="AZ40" s="1714" t="str">
        <f t="shared" si="13"/>
        <v/>
      </c>
      <c r="BA40" s="1709" t="str">
        <f t="shared" si="14"/>
        <v/>
      </c>
      <c r="BB40" s="1752" t="str">
        <f t="shared" si="15"/>
        <v/>
      </c>
      <c r="BC40" s="1753" t="str">
        <f t="shared" si="16"/>
        <v/>
      </c>
      <c r="BD40" s="1714" t="str">
        <f t="shared" si="17"/>
        <v/>
      </c>
      <c r="BE40" s="1709" t="str">
        <f t="shared" si="18"/>
        <v/>
      </c>
      <c r="BF40" s="1752" t="str">
        <f t="shared" si="19"/>
        <v/>
      </c>
      <c r="BG40" s="1753" t="str">
        <f t="shared" si="20"/>
        <v/>
      </c>
      <c r="BH40" s="1416"/>
      <c r="BJ40" s="995" t="str">
        <f t="shared" si="59"/>
        <v/>
      </c>
      <c r="BK40" s="993" t="b">
        <f t="shared" si="21"/>
        <v>0</v>
      </c>
      <c r="BL40" s="1800" t="b">
        <v>0</v>
      </c>
      <c r="BM40" s="989">
        <f t="shared" si="22"/>
        <v>0</v>
      </c>
      <c r="BN40" s="989">
        <f t="shared" si="23"/>
        <v>0</v>
      </c>
      <c r="BO40" s="989">
        <f t="shared" si="24"/>
        <v>0</v>
      </c>
      <c r="BP40" s="989">
        <f t="shared" si="25"/>
        <v>0</v>
      </c>
      <c r="BQ40" s="989">
        <f t="shared" si="26"/>
        <v>0</v>
      </c>
      <c r="BR40" s="989" t="b">
        <f t="shared" si="27"/>
        <v>1</v>
      </c>
      <c r="BS40" s="1302">
        <f t="shared" si="28"/>
        <v>6</v>
      </c>
      <c r="BT40" s="990" t="str">
        <f t="shared" si="29"/>
        <v>No</v>
      </c>
      <c r="BU40" s="1302">
        <f t="shared" si="30"/>
        <v>6</v>
      </c>
      <c r="BV40" s="990" t="str">
        <f t="shared" si="31"/>
        <v>No</v>
      </c>
      <c r="BW40" s="991">
        <f t="shared" ca="1" si="32"/>
        <v>0</v>
      </c>
      <c r="BX40" s="991" t="str">
        <f t="shared" ca="1" si="33"/>
        <v/>
      </c>
      <c r="BY40" s="991" t="b">
        <f t="shared" ca="1" si="34"/>
        <v>0</v>
      </c>
      <c r="BZ40" s="991" t="b">
        <f t="shared" si="52"/>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35"/>
        <v/>
      </c>
      <c r="EN40" s="1428" t="str">
        <f t="shared" si="36"/>
        <v/>
      </c>
      <c r="EO40" s="1429" t="str">
        <f t="shared" si="37"/>
        <v/>
      </c>
      <c r="EP40" s="1430" t="str">
        <f t="shared" si="38"/>
        <v/>
      </c>
      <c r="EQ40" s="1434" t="str">
        <f t="shared" si="39"/>
        <v/>
      </c>
      <c r="ER40" s="1440" t="str">
        <f t="shared" si="40"/>
        <v/>
      </c>
      <c r="ES40" s="1441" t="str">
        <f t="shared" si="41"/>
        <v/>
      </c>
      <c r="ET40" s="1442" t="str">
        <f t="shared" si="42"/>
        <v/>
      </c>
      <c r="EU40" s="1443" t="str">
        <f t="shared" si="53"/>
        <v/>
      </c>
      <c r="EX40" s="503" t="str">
        <f t="shared" ca="1" si="54"/>
        <v/>
      </c>
      <c r="EY40" s="940" t="str">
        <f t="shared" si="43"/>
        <v/>
      </c>
      <c r="EZ40" s="940" t="str">
        <f t="shared" si="55"/>
        <v/>
      </c>
      <c r="FA40" s="958" t="str">
        <f t="shared" ca="1" si="60"/>
        <v/>
      </c>
      <c r="FB40" s="134" t="str">
        <f t="shared" ca="1" si="56"/>
        <v/>
      </c>
      <c r="FC40" s="134">
        <f t="shared" ca="1" si="44"/>
        <v>0</v>
      </c>
      <c r="FD40" s="134">
        <f t="shared" ca="1" si="45"/>
        <v>0</v>
      </c>
      <c r="FE40" s="134">
        <f t="shared" ca="1" si="46"/>
        <v>0</v>
      </c>
      <c r="FF40" s="134">
        <f t="shared" ca="1" si="57"/>
        <v>0</v>
      </c>
      <c r="FN40" s="754" t="b">
        <v>0</v>
      </c>
      <c r="FO40" s="754" t="b">
        <f t="shared" si="47"/>
        <v>1</v>
      </c>
      <c r="FP40" s="754" t="b">
        <v>0</v>
      </c>
      <c r="FQ40" s="754" t="b">
        <f t="shared" si="58"/>
        <v>1</v>
      </c>
      <c r="FW40" s="2"/>
      <c r="FX40" s="2"/>
      <c r="FZ40" s="2"/>
      <c r="GA40" s="1761" t="str">
        <f t="shared" si="92"/>
        <v/>
      </c>
      <c r="GB40" s="1762" t="str">
        <f t="shared" si="93"/>
        <v/>
      </c>
      <c r="GC40" s="1763" t="str">
        <f t="shared" si="94"/>
        <v/>
      </c>
      <c r="GD40" s="1764" t="str">
        <f t="shared" si="95"/>
        <v/>
      </c>
      <c r="GE40" s="1765" t="str">
        <f t="shared" si="48"/>
        <v/>
      </c>
      <c r="GF40" s="582" t="str">
        <f t="shared" si="49"/>
        <v/>
      </c>
      <c r="GG40" s="692"/>
      <c r="GH40" s="1135"/>
      <c r="GI40" s="692"/>
      <c r="GJ40" s="1135"/>
      <c r="GK40" s="1640">
        <f t="shared" si="50"/>
        <v>0</v>
      </c>
      <c r="GL40" s="1640" t="e">
        <f t="shared" si="51"/>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61"/>
        <v>0</v>
      </c>
    </row>
    <row r="41" spans="1:272" ht="12.6" customHeight="1" x14ac:dyDescent="0.25">
      <c r="A41" s="1448" t="str">
        <f t="shared" si="65"/>
        <v/>
      </c>
      <c r="B41" s="1681"/>
      <c r="C41" s="1449"/>
      <c r="D41" s="1705" t="str">
        <f t="shared" si="66"/>
        <v/>
      </c>
      <c r="E41" s="1706" t="str">
        <f t="shared" si="67"/>
        <v/>
      </c>
      <c r="F41" s="1707" t="str">
        <f t="shared" si="68"/>
        <v/>
      </c>
      <c r="G41" s="1708" t="str">
        <f t="shared" si="69"/>
        <v/>
      </c>
      <c r="H41" s="1709" t="str">
        <f t="shared" si="70"/>
        <v/>
      </c>
      <c r="I41" s="1710" t="str">
        <f t="shared" si="71"/>
        <v/>
      </c>
      <c r="J41" s="1705" t="str">
        <f t="shared" si="62"/>
        <v/>
      </c>
      <c r="K41" s="1709" t="str">
        <f t="shared" si="63"/>
        <v/>
      </c>
      <c r="L41" s="1711" t="str">
        <f t="shared" si="64"/>
        <v/>
      </c>
      <c r="M41" s="1712" t="str">
        <f t="shared" si="72"/>
        <v/>
      </c>
      <c r="N41" s="1713" t="str">
        <f t="shared" si="72"/>
        <v/>
      </c>
      <c r="O41" s="1708" t="str">
        <f t="shared" si="73"/>
        <v/>
      </c>
      <c r="P41" s="1709" t="str">
        <f t="shared" si="74"/>
        <v/>
      </c>
      <c r="Q41" s="1705" t="str">
        <f t="shared" si="75"/>
        <v/>
      </c>
      <c r="R41" s="1706" t="str">
        <f t="shared" si="76"/>
        <v/>
      </c>
      <c r="S41" s="1714" t="str">
        <f t="shared" si="77"/>
        <v/>
      </c>
      <c r="T41" s="1709" t="str">
        <f t="shared" si="78"/>
        <v/>
      </c>
      <c r="U41" s="1705" t="str">
        <f t="shared" si="79"/>
        <v/>
      </c>
      <c r="V41" s="1709" t="str">
        <f t="shared" si="80"/>
        <v/>
      </c>
      <c r="W41" s="1713">
        <f t="shared" si="81"/>
        <v>0</v>
      </c>
      <c r="X41" s="1715" t="str">
        <f t="shared" si="0"/>
        <v/>
      </c>
      <c r="Y41" s="1716" t="str">
        <f t="shared" si="1"/>
        <v/>
      </c>
      <c r="Z41" s="1717" t="s">
        <v>116</v>
      </c>
      <c r="AA41" s="1776" t="str">
        <f t="shared" si="2"/>
        <v/>
      </c>
      <c r="AB41" s="1448" t="str">
        <f t="shared" si="82"/>
        <v/>
      </c>
      <c r="AC41" s="1710" t="str">
        <f t="shared" si="83"/>
        <v/>
      </c>
      <c r="AD41" s="1705" t="str">
        <f t="shared" ca="1" si="84"/>
        <v/>
      </c>
      <c r="AE41" s="1709" t="str">
        <f t="shared" ca="1" si="85"/>
        <v/>
      </c>
      <c r="AF41" s="1710" t="str">
        <f t="shared" ca="1" si="86"/>
        <v/>
      </c>
      <c r="AG41" s="1705" t="str">
        <f t="shared" ca="1" si="87"/>
        <v/>
      </c>
      <c r="AH41" s="1709" t="str">
        <f t="shared" ca="1" si="88"/>
        <v/>
      </c>
      <c r="AI41" s="1705" t="str">
        <f t="shared" ca="1" si="89"/>
        <v/>
      </c>
      <c r="AJ41" s="1709" t="str">
        <f t="shared" ca="1" si="90"/>
        <v/>
      </c>
      <c r="AK41" s="1747" t="str">
        <f t="shared" si="3"/>
        <v/>
      </c>
      <c r="AL41" s="1748" t="str">
        <f t="shared" si="91"/>
        <v/>
      </c>
      <c r="AM41" s="1749" t="str">
        <f t="shared" si="3"/>
        <v/>
      </c>
      <c r="AN41" s="1710" t="str">
        <f t="shared" si="3"/>
        <v/>
      </c>
      <c r="AO41" s="1713" t="str">
        <f t="shared" si="3"/>
        <v/>
      </c>
      <c r="AP41" s="1712" t="str">
        <f t="shared" si="4"/>
        <v/>
      </c>
      <c r="AQ41" s="1751" t="str">
        <f t="shared" si="4"/>
        <v/>
      </c>
      <c r="AR41" s="1708" t="str">
        <f t="shared" si="5"/>
        <v/>
      </c>
      <c r="AS41" s="1709" t="str">
        <f t="shared" si="6"/>
        <v/>
      </c>
      <c r="AT41" s="1752" t="str">
        <f t="shared" si="7"/>
        <v/>
      </c>
      <c r="AU41" s="1753" t="str">
        <f t="shared" si="8"/>
        <v/>
      </c>
      <c r="AV41" s="1714" t="str">
        <f t="shared" si="9"/>
        <v/>
      </c>
      <c r="AW41" s="1709" t="str">
        <f t="shared" si="10"/>
        <v/>
      </c>
      <c r="AX41" s="1752" t="str">
        <f t="shared" si="11"/>
        <v/>
      </c>
      <c r="AY41" s="1753" t="str">
        <f t="shared" si="12"/>
        <v/>
      </c>
      <c r="AZ41" s="1714" t="str">
        <f t="shared" si="13"/>
        <v/>
      </c>
      <c r="BA41" s="1709" t="str">
        <f t="shared" si="14"/>
        <v/>
      </c>
      <c r="BB41" s="1752" t="str">
        <f t="shared" si="15"/>
        <v/>
      </c>
      <c r="BC41" s="1753" t="str">
        <f t="shared" si="16"/>
        <v/>
      </c>
      <c r="BD41" s="1714" t="str">
        <f t="shared" si="17"/>
        <v/>
      </c>
      <c r="BE41" s="1709" t="str">
        <f t="shared" si="18"/>
        <v/>
      </c>
      <c r="BF41" s="1752" t="str">
        <f t="shared" si="19"/>
        <v/>
      </c>
      <c r="BG41" s="1753" t="str">
        <f t="shared" si="20"/>
        <v/>
      </c>
      <c r="BH41" s="1416"/>
      <c r="BJ41" s="995" t="str">
        <f t="shared" si="59"/>
        <v/>
      </c>
      <c r="BK41" s="993" t="b">
        <f t="shared" si="21"/>
        <v>0</v>
      </c>
      <c r="BL41" s="1800" t="b">
        <v>0</v>
      </c>
      <c r="BM41" s="989">
        <f t="shared" si="22"/>
        <v>0</v>
      </c>
      <c r="BN41" s="989">
        <f t="shared" si="23"/>
        <v>0</v>
      </c>
      <c r="BO41" s="989">
        <f t="shared" si="24"/>
        <v>0</v>
      </c>
      <c r="BP41" s="989">
        <f t="shared" si="25"/>
        <v>0</v>
      </c>
      <c r="BQ41" s="989">
        <f t="shared" si="26"/>
        <v>0</v>
      </c>
      <c r="BR41" s="989" t="b">
        <f t="shared" si="27"/>
        <v>1</v>
      </c>
      <c r="BS41" s="1302">
        <f t="shared" si="28"/>
        <v>6</v>
      </c>
      <c r="BT41" s="990" t="str">
        <f t="shared" si="29"/>
        <v>No</v>
      </c>
      <c r="BU41" s="1302">
        <f t="shared" si="30"/>
        <v>6</v>
      </c>
      <c r="BV41" s="990" t="str">
        <f t="shared" si="31"/>
        <v>No</v>
      </c>
      <c r="BW41" s="991">
        <f t="shared" ca="1" si="32"/>
        <v>0</v>
      </c>
      <c r="BX41" s="991" t="str">
        <f t="shared" ca="1" si="33"/>
        <v/>
      </c>
      <c r="BY41" s="991" t="b">
        <f t="shared" ca="1" si="34"/>
        <v>0</v>
      </c>
      <c r="BZ41" s="991" t="b">
        <f t="shared" si="52"/>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35"/>
        <v/>
      </c>
      <c r="EN41" s="1428" t="str">
        <f t="shared" si="36"/>
        <v/>
      </c>
      <c r="EO41" s="1429" t="str">
        <f t="shared" si="37"/>
        <v/>
      </c>
      <c r="EP41" s="1430" t="str">
        <f t="shared" si="38"/>
        <v/>
      </c>
      <c r="EQ41" s="1434" t="str">
        <f t="shared" si="39"/>
        <v/>
      </c>
      <c r="ER41" s="1440" t="str">
        <f t="shared" si="40"/>
        <v/>
      </c>
      <c r="ES41" s="1441" t="str">
        <f t="shared" si="41"/>
        <v/>
      </c>
      <c r="ET41" s="1442" t="str">
        <f t="shared" si="42"/>
        <v/>
      </c>
      <c r="EU41" s="1443" t="str">
        <f t="shared" si="53"/>
        <v/>
      </c>
      <c r="EX41" s="503" t="str">
        <f t="shared" ca="1" si="54"/>
        <v/>
      </c>
      <c r="EY41" s="940" t="str">
        <f t="shared" si="43"/>
        <v/>
      </c>
      <c r="EZ41" s="940" t="str">
        <f t="shared" si="55"/>
        <v/>
      </c>
      <c r="FA41" s="958" t="str">
        <f t="shared" ca="1" si="60"/>
        <v/>
      </c>
      <c r="FB41" s="134" t="str">
        <f t="shared" ca="1" si="56"/>
        <v/>
      </c>
      <c r="FC41" s="134">
        <f t="shared" ca="1" si="44"/>
        <v>0</v>
      </c>
      <c r="FD41" s="134">
        <f t="shared" ca="1" si="45"/>
        <v>0</v>
      </c>
      <c r="FE41" s="134">
        <f t="shared" ca="1" si="46"/>
        <v>0</v>
      </c>
      <c r="FF41" s="134">
        <f t="shared" ca="1" si="57"/>
        <v>0</v>
      </c>
      <c r="FN41" s="754" t="b">
        <v>0</v>
      </c>
      <c r="FO41" s="754" t="b">
        <f t="shared" si="47"/>
        <v>1</v>
      </c>
      <c r="FP41" s="754" t="b">
        <v>0</v>
      </c>
      <c r="FQ41" s="754" t="b">
        <f t="shared" si="58"/>
        <v>1</v>
      </c>
      <c r="FW41" s="2"/>
      <c r="FX41" s="2"/>
      <c r="FZ41" s="2"/>
      <c r="GA41" s="1761" t="str">
        <f t="shared" si="92"/>
        <v/>
      </c>
      <c r="GB41" s="1762" t="str">
        <f t="shared" si="93"/>
        <v/>
      </c>
      <c r="GC41" s="1763" t="str">
        <f t="shared" si="94"/>
        <v/>
      </c>
      <c r="GD41" s="1764" t="str">
        <f t="shared" si="95"/>
        <v/>
      </c>
      <c r="GE41" s="1765" t="str">
        <f t="shared" si="48"/>
        <v/>
      </c>
      <c r="GF41" s="582" t="str">
        <f t="shared" si="49"/>
        <v/>
      </c>
      <c r="GG41" s="692"/>
      <c r="GH41" s="1135"/>
      <c r="GI41" s="692"/>
      <c r="GJ41" s="1135"/>
      <c r="GK41" s="1640">
        <f t="shared" si="50"/>
        <v>0</v>
      </c>
      <c r="GL41" s="1640" t="e">
        <f t="shared" si="51"/>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61"/>
        <v>0</v>
      </c>
    </row>
    <row r="42" spans="1:272" ht="12.6" customHeight="1" x14ac:dyDescent="0.25">
      <c r="A42" s="1448" t="str">
        <f t="shared" si="65"/>
        <v/>
      </c>
      <c r="B42" s="1681"/>
      <c r="C42" s="1449"/>
      <c r="D42" s="1705" t="str">
        <f t="shared" si="66"/>
        <v/>
      </c>
      <c r="E42" s="1706" t="str">
        <f t="shared" si="67"/>
        <v/>
      </c>
      <c r="F42" s="1707" t="str">
        <f t="shared" si="68"/>
        <v/>
      </c>
      <c r="G42" s="1708" t="str">
        <f t="shared" si="69"/>
        <v/>
      </c>
      <c r="H42" s="1709" t="str">
        <f t="shared" si="70"/>
        <v/>
      </c>
      <c r="I42" s="1710" t="str">
        <f t="shared" si="71"/>
        <v/>
      </c>
      <c r="J42" s="1705" t="str">
        <f t="shared" si="62"/>
        <v/>
      </c>
      <c r="K42" s="1709" t="str">
        <f t="shared" si="63"/>
        <v/>
      </c>
      <c r="L42" s="1711" t="str">
        <f t="shared" si="64"/>
        <v/>
      </c>
      <c r="M42" s="1712" t="str">
        <f t="shared" si="72"/>
        <v/>
      </c>
      <c r="N42" s="1713" t="str">
        <f t="shared" si="72"/>
        <v/>
      </c>
      <c r="O42" s="1708" t="str">
        <f t="shared" si="73"/>
        <v/>
      </c>
      <c r="P42" s="1709" t="str">
        <f t="shared" si="74"/>
        <v/>
      </c>
      <c r="Q42" s="1705" t="str">
        <f t="shared" si="75"/>
        <v/>
      </c>
      <c r="R42" s="1706" t="str">
        <f t="shared" si="76"/>
        <v/>
      </c>
      <c r="S42" s="1714" t="str">
        <f t="shared" si="77"/>
        <v/>
      </c>
      <c r="T42" s="1709" t="str">
        <f t="shared" si="78"/>
        <v/>
      </c>
      <c r="U42" s="1705" t="str">
        <f t="shared" si="79"/>
        <v/>
      </c>
      <c r="V42" s="1709" t="str">
        <f t="shared" si="80"/>
        <v/>
      </c>
      <c r="W42" s="1713">
        <f t="shared" si="81"/>
        <v>0</v>
      </c>
      <c r="X42" s="1715" t="str">
        <f t="shared" si="0"/>
        <v/>
      </c>
      <c r="Y42" s="1716" t="str">
        <f t="shared" si="1"/>
        <v/>
      </c>
      <c r="Z42" s="1717" t="s">
        <v>116</v>
      </c>
      <c r="AA42" s="1776" t="str">
        <f t="shared" si="2"/>
        <v/>
      </c>
      <c r="AB42" s="1448" t="str">
        <f t="shared" si="82"/>
        <v/>
      </c>
      <c r="AC42" s="1710" t="str">
        <f t="shared" si="83"/>
        <v/>
      </c>
      <c r="AD42" s="1705" t="str">
        <f t="shared" ca="1" si="84"/>
        <v/>
      </c>
      <c r="AE42" s="1709" t="str">
        <f t="shared" ca="1" si="85"/>
        <v/>
      </c>
      <c r="AF42" s="1710" t="str">
        <f t="shared" ca="1" si="86"/>
        <v/>
      </c>
      <c r="AG42" s="1705" t="str">
        <f t="shared" ca="1" si="87"/>
        <v/>
      </c>
      <c r="AH42" s="1709" t="str">
        <f t="shared" ca="1" si="88"/>
        <v/>
      </c>
      <c r="AI42" s="1705" t="str">
        <f t="shared" ca="1" si="89"/>
        <v/>
      </c>
      <c r="AJ42" s="1709" t="str">
        <f t="shared" ca="1" si="90"/>
        <v/>
      </c>
      <c r="AK42" s="1747" t="str">
        <f t="shared" si="3"/>
        <v/>
      </c>
      <c r="AL42" s="1748" t="str">
        <f t="shared" si="91"/>
        <v/>
      </c>
      <c r="AM42" s="1749" t="str">
        <f t="shared" si="3"/>
        <v/>
      </c>
      <c r="AN42" s="1710" t="str">
        <f t="shared" si="3"/>
        <v/>
      </c>
      <c r="AO42" s="1713" t="str">
        <f t="shared" si="3"/>
        <v/>
      </c>
      <c r="AP42" s="1712" t="str">
        <f t="shared" si="4"/>
        <v/>
      </c>
      <c r="AQ42" s="1751" t="str">
        <f t="shared" si="4"/>
        <v/>
      </c>
      <c r="AR42" s="1708" t="str">
        <f t="shared" si="5"/>
        <v/>
      </c>
      <c r="AS42" s="1709" t="str">
        <f t="shared" si="6"/>
        <v/>
      </c>
      <c r="AT42" s="1752" t="str">
        <f t="shared" si="7"/>
        <v/>
      </c>
      <c r="AU42" s="1753" t="str">
        <f t="shared" si="8"/>
        <v/>
      </c>
      <c r="AV42" s="1714" t="str">
        <f t="shared" si="9"/>
        <v/>
      </c>
      <c r="AW42" s="1709" t="str">
        <f t="shared" si="10"/>
        <v/>
      </c>
      <c r="AX42" s="1752" t="str">
        <f t="shared" si="11"/>
        <v/>
      </c>
      <c r="AY42" s="1753" t="str">
        <f t="shared" si="12"/>
        <v/>
      </c>
      <c r="AZ42" s="1714" t="str">
        <f t="shared" si="13"/>
        <v/>
      </c>
      <c r="BA42" s="1709" t="str">
        <f t="shared" si="14"/>
        <v/>
      </c>
      <c r="BB42" s="1752" t="str">
        <f t="shared" si="15"/>
        <v/>
      </c>
      <c r="BC42" s="1753" t="str">
        <f t="shared" si="16"/>
        <v/>
      </c>
      <c r="BD42" s="1714" t="str">
        <f t="shared" si="17"/>
        <v/>
      </c>
      <c r="BE42" s="1709" t="str">
        <f t="shared" si="18"/>
        <v/>
      </c>
      <c r="BF42" s="1752" t="str">
        <f t="shared" si="19"/>
        <v/>
      </c>
      <c r="BG42" s="1753" t="str">
        <f t="shared" si="20"/>
        <v/>
      </c>
      <c r="BH42" s="1416"/>
      <c r="BJ42" s="995" t="str">
        <f t="shared" si="59"/>
        <v/>
      </c>
      <c r="BK42" s="993" t="b">
        <f t="shared" si="21"/>
        <v>0</v>
      </c>
      <c r="BL42" s="1800" t="b">
        <v>0</v>
      </c>
      <c r="BM42" s="989">
        <f t="shared" si="22"/>
        <v>0</v>
      </c>
      <c r="BN42" s="989">
        <f t="shared" si="23"/>
        <v>0</v>
      </c>
      <c r="BO42" s="989">
        <f t="shared" si="24"/>
        <v>0</v>
      </c>
      <c r="BP42" s="989">
        <f t="shared" si="25"/>
        <v>0</v>
      </c>
      <c r="BQ42" s="989">
        <f t="shared" si="26"/>
        <v>0</v>
      </c>
      <c r="BR42" s="989" t="b">
        <f t="shared" si="27"/>
        <v>1</v>
      </c>
      <c r="BS42" s="1302">
        <f t="shared" si="28"/>
        <v>6</v>
      </c>
      <c r="BT42" s="990" t="str">
        <f t="shared" si="29"/>
        <v>No</v>
      </c>
      <c r="BU42" s="1302">
        <f t="shared" si="30"/>
        <v>6</v>
      </c>
      <c r="BV42" s="990" t="str">
        <f t="shared" si="31"/>
        <v>No</v>
      </c>
      <c r="BW42" s="991">
        <f t="shared" ca="1" si="32"/>
        <v>0</v>
      </c>
      <c r="BX42" s="991" t="str">
        <f t="shared" ca="1" si="33"/>
        <v/>
      </c>
      <c r="BY42" s="991" t="b">
        <f t="shared" ca="1" si="34"/>
        <v>0</v>
      </c>
      <c r="BZ42" s="991" t="b">
        <f t="shared" si="52"/>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35"/>
        <v/>
      </c>
      <c r="EN42" s="1428" t="str">
        <f t="shared" si="36"/>
        <v/>
      </c>
      <c r="EO42" s="1429" t="str">
        <f t="shared" si="37"/>
        <v/>
      </c>
      <c r="EP42" s="1430" t="str">
        <f t="shared" si="38"/>
        <v/>
      </c>
      <c r="EQ42" s="1434" t="str">
        <f t="shared" si="39"/>
        <v/>
      </c>
      <c r="ER42" s="1440" t="str">
        <f t="shared" si="40"/>
        <v/>
      </c>
      <c r="ES42" s="1441" t="str">
        <f t="shared" si="41"/>
        <v/>
      </c>
      <c r="ET42" s="1442" t="str">
        <f t="shared" si="42"/>
        <v/>
      </c>
      <c r="EU42" s="1443" t="str">
        <f t="shared" si="53"/>
        <v/>
      </c>
      <c r="EX42" s="503" t="str">
        <f t="shared" ca="1" si="54"/>
        <v/>
      </c>
      <c r="EY42" s="940" t="str">
        <f t="shared" si="43"/>
        <v/>
      </c>
      <c r="EZ42" s="940" t="str">
        <f t="shared" si="55"/>
        <v/>
      </c>
      <c r="FA42" s="958" t="str">
        <f t="shared" ca="1" si="60"/>
        <v/>
      </c>
      <c r="FB42" s="134" t="str">
        <f t="shared" ca="1" si="56"/>
        <v/>
      </c>
      <c r="FC42" s="134">
        <f t="shared" ca="1" si="44"/>
        <v>0</v>
      </c>
      <c r="FD42" s="134">
        <f t="shared" ca="1" si="45"/>
        <v>0</v>
      </c>
      <c r="FE42" s="134">
        <f t="shared" ca="1" si="46"/>
        <v>0</v>
      </c>
      <c r="FF42" s="134">
        <f t="shared" ca="1" si="57"/>
        <v>0</v>
      </c>
      <c r="FN42" s="754" t="b">
        <v>0</v>
      </c>
      <c r="FO42" s="754" t="b">
        <f t="shared" si="47"/>
        <v>1</v>
      </c>
      <c r="FP42" s="754" t="b">
        <v>0</v>
      </c>
      <c r="FQ42" s="754" t="b">
        <f t="shared" si="58"/>
        <v>1</v>
      </c>
      <c r="GA42" s="1761" t="str">
        <f t="shared" si="92"/>
        <v/>
      </c>
      <c r="GB42" s="1762" t="str">
        <f t="shared" si="93"/>
        <v/>
      </c>
      <c r="GC42" s="1763" t="str">
        <f t="shared" si="94"/>
        <v/>
      </c>
      <c r="GD42" s="1764" t="str">
        <f t="shared" si="95"/>
        <v/>
      </c>
      <c r="GE42" s="1765" t="str">
        <f t="shared" si="48"/>
        <v/>
      </c>
      <c r="GF42" s="582" t="str">
        <f t="shared" si="49"/>
        <v/>
      </c>
      <c r="GG42" s="692"/>
      <c r="GH42" s="1135"/>
      <c r="GI42" s="692"/>
      <c r="GJ42" s="1135"/>
      <c r="GK42" s="1640">
        <f t="shared" si="50"/>
        <v>0</v>
      </c>
      <c r="GL42" s="1640" t="e">
        <f t="shared" si="51"/>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61"/>
        <v>0</v>
      </c>
    </row>
    <row r="43" spans="1:272" ht="12.6" customHeight="1" x14ac:dyDescent="0.25">
      <c r="A43" s="1448" t="str">
        <f t="shared" si="65"/>
        <v/>
      </c>
      <c r="B43" s="1681"/>
      <c r="C43" s="1449"/>
      <c r="D43" s="1705" t="str">
        <f t="shared" si="66"/>
        <v/>
      </c>
      <c r="E43" s="1706" t="str">
        <f t="shared" si="67"/>
        <v/>
      </c>
      <c r="F43" s="1707" t="str">
        <f t="shared" si="68"/>
        <v/>
      </c>
      <c r="G43" s="1708" t="str">
        <f t="shared" si="69"/>
        <v/>
      </c>
      <c r="H43" s="1709" t="str">
        <f t="shared" si="70"/>
        <v/>
      </c>
      <c r="I43" s="1710" t="str">
        <f t="shared" si="71"/>
        <v/>
      </c>
      <c r="J43" s="1705" t="str">
        <f t="shared" si="62"/>
        <v/>
      </c>
      <c r="K43" s="1709" t="str">
        <f t="shared" si="63"/>
        <v/>
      </c>
      <c r="L43" s="1711" t="str">
        <f t="shared" si="64"/>
        <v/>
      </c>
      <c r="M43" s="1712" t="str">
        <f t="shared" si="72"/>
        <v/>
      </c>
      <c r="N43" s="1713" t="str">
        <f t="shared" si="72"/>
        <v/>
      </c>
      <c r="O43" s="1708" t="str">
        <f t="shared" si="73"/>
        <v/>
      </c>
      <c r="P43" s="1709" t="str">
        <f t="shared" si="74"/>
        <v/>
      </c>
      <c r="Q43" s="1705" t="str">
        <f t="shared" si="75"/>
        <v/>
      </c>
      <c r="R43" s="1706" t="str">
        <f t="shared" si="76"/>
        <v/>
      </c>
      <c r="S43" s="1714" t="str">
        <f t="shared" si="77"/>
        <v/>
      </c>
      <c r="T43" s="1709" t="str">
        <f t="shared" si="78"/>
        <v/>
      </c>
      <c r="U43" s="1705" t="str">
        <f t="shared" si="79"/>
        <v/>
      </c>
      <c r="V43" s="1709" t="str">
        <f t="shared" si="80"/>
        <v/>
      </c>
      <c r="W43" s="1713">
        <f t="shared" si="81"/>
        <v>0</v>
      </c>
      <c r="X43" s="1715" t="str">
        <f t="shared" si="0"/>
        <v/>
      </c>
      <c r="Y43" s="1716" t="str">
        <f t="shared" si="1"/>
        <v/>
      </c>
      <c r="Z43" s="1717" t="s">
        <v>116</v>
      </c>
      <c r="AA43" s="1776" t="str">
        <f t="shared" si="2"/>
        <v/>
      </c>
      <c r="AB43" s="1448" t="str">
        <f t="shared" si="82"/>
        <v/>
      </c>
      <c r="AC43" s="1710" t="str">
        <f t="shared" si="83"/>
        <v/>
      </c>
      <c r="AD43" s="1705" t="str">
        <f t="shared" ca="1" si="84"/>
        <v/>
      </c>
      <c r="AE43" s="1709" t="str">
        <f t="shared" ca="1" si="85"/>
        <v/>
      </c>
      <c r="AF43" s="1710" t="str">
        <f t="shared" ca="1" si="86"/>
        <v/>
      </c>
      <c r="AG43" s="1705" t="str">
        <f t="shared" ca="1" si="87"/>
        <v/>
      </c>
      <c r="AH43" s="1709" t="str">
        <f t="shared" ca="1" si="88"/>
        <v/>
      </c>
      <c r="AI43" s="1705" t="str">
        <f t="shared" ca="1" si="89"/>
        <v/>
      </c>
      <c r="AJ43" s="1709" t="str">
        <f t="shared" ca="1" si="90"/>
        <v/>
      </c>
      <c r="AK43" s="1747" t="str">
        <f t="shared" si="3"/>
        <v/>
      </c>
      <c r="AL43" s="1748" t="str">
        <f t="shared" si="91"/>
        <v/>
      </c>
      <c r="AM43" s="1749" t="str">
        <f t="shared" si="3"/>
        <v/>
      </c>
      <c r="AN43" s="1710" t="str">
        <f t="shared" si="3"/>
        <v/>
      </c>
      <c r="AO43" s="1713" t="str">
        <f t="shared" si="3"/>
        <v/>
      </c>
      <c r="AP43" s="1712" t="str">
        <f t="shared" si="4"/>
        <v/>
      </c>
      <c r="AQ43" s="1751" t="str">
        <f t="shared" si="4"/>
        <v/>
      </c>
      <c r="AR43" s="1708" t="str">
        <f t="shared" si="5"/>
        <v/>
      </c>
      <c r="AS43" s="1709" t="str">
        <f t="shared" si="6"/>
        <v/>
      </c>
      <c r="AT43" s="1752" t="str">
        <f t="shared" si="7"/>
        <v/>
      </c>
      <c r="AU43" s="1753" t="str">
        <f t="shared" si="8"/>
        <v/>
      </c>
      <c r="AV43" s="1714" t="str">
        <f t="shared" si="9"/>
        <v/>
      </c>
      <c r="AW43" s="1709" t="str">
        <f t="shared" si="10"/>
        <v/>
      </c>
      <c r="AX43" s="1752" t="str">
        <f t="shared" si="11"/>
        <v/>
      </c>
      <c r="AY43" s="1753" t="str">
        <f t="shared" si="12"/>
        <v/>
      </c>
      <c r="AZ43" s="1714" t="str">
        <f t="shared" si="13"/>
        <v/>
      </c>
      <c r="BA43" s="1709" t="str">
        <f t="shared" si="14"/>
        <v/>
      </c>
      <c r="BB43" s="1752" t="str">
        <f t="shared" si="15"/>
        <v/>
      </c>
      <c r="BC43" s="1753" t="str">
        <f t="shared" si="16"/>
        <v/>
      </c>
      <c r="BD43" s="1714" t="str">
        <f t="shared" si="17"/>
        <v/>
      </c>
      <c r="BE43" s="1709" t="str">
        <f t="shared" si="18"/>
        <v/>
      </c>
      <c r="BF43" s="1752" t="str">
        <f t="shared" si="19"/>
        <v/>
      </c>
      <c r="BG43" s="1753" t="str">
        <f t="shared" si="20"/>
        <v/>
      </c>
      <c r="BH43" s="1416"/>
      <c r="BJ43" s="995" t="str">
        <f t="shared" si="59"/>
        <v/>
      </c>
      <c r="BK43" s="993" t="b">
        <f t="shared" si="21"/>
        <v>0</v>
      </c>
      <c r="BL43" s="1800" t="b">
        <v>0</v>
      </c>
      <c r="BM43" s="989">
        <f t="shared" si="22"/>
        <v>0</v>
      </c>
      <c r="BN43" s="989">
        <f t="shared" si="23"/>
        <v>0</v>
      </c>
      <c r="BO43" s="989">
        <f t="shared" si="24"/>
        <v>0</v>
      </c>
      <c r="BP43" s="989">
        <f t="shared" si="25"/>
        <v>0</v>
      </c>
      <c r="BQ43" s="989">
        <f t="shared" si="26"/>
        <v>0</v>
      </c>
      <c r="BR43" s="989" t="b">
        <f t="shared" si="27"/>
        <v>1</v>
      </c>
      <c r="BS43" s="1302">
        <f t="shared" si="28"/>
        <v>6</v>
      </c>
      <c r="BT43" s="990" t="str">
        <f t="shared" si="29"/>
        <v>No</v>
      </c>
      <c r="BU43" s="1302">
        <f t="shared" si="30"/>
        <v>6</v>
      </c>
      <c r="BV43" s="990" t="str">
        <f t="shared" si="31"/>
        <v>No</v>
      </c>
      <c r="BW43" s="991">
        <f t="shared" ca="1" si="32"/>
        <v>0</v>
      </c>
      <c r="BX43" s="991" t="str">
        <f t="shared" ca="1" si="33"/>
        <v/>
      </c>
      <c r="BY43" s="991" t="b">
        <f t="shared" ca="1" si="34"/>
        <v>0</v>
      </c>
      <c r="BZ43" s="991" t="b">
        <f t="shared" si="52"/>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35"/>
        <v/>
      </c>
      <c r="EN43" s="1428" t="str">
        <f t="shared" si="36"/>
        <v/>
      </c>
      <c r="EO43" s="1429" t="str">
        <f t="shared" si="37"/>
        <v/>
      </c>
      <c r="EP43" s="1430" t="str">
        <f t="shared" si="38"/>
        <v/>
      </c>
      <c r="EQ43" s="1434" t="str">
        <f t="shared" si="39"/>
        <v/>
      </c>
      <c r="ER43" s="1440" t="str">
        <f t="shared" si="40"/>
        <v/>
      </c>
      <c r="ES43" s="1441" t="str">
        <f t="shared" si="41"/>
        <v/>
      </c>
      <c r="ET43" s="1442" t="str">
        <f t="shared" si="42"/>
        <v/>
      </c>
      <c r="EU43" s="1443" t="str">
        <f t="shared" si="53"/>
        <v/>
      </c>
      <c r="EX43" s="503" t="str">
        <f t="shared" ca="1" si="54"/>
        <v/>
      </c>
      <c r="EY43" s="940" t="str">
        <f t="shared" si="43"/>
        <v/>
      </c>
      <c r="EZ43" s="940" t="str">
        <f t="shared" si="55"/>
        <v/>
      </c>
      <c r="FA43" s="958" t="str">
        <f t="shared" ca="1" si="60"/>
        <v/>
      </c>
      <c r="FB43" s="134" t="str">
        <f t="shared" ca="1" si="56"/>
        <v/>
      </c>
      <c r="FC43" s="134">
        <f t="shared" ca="1" si="44"/>
        <v>0</v>
      </c>
      <c r="FD43" s="134">
        <f t="shared" ca="1" si="45"/>
        <v>0</v>
      </c>
      <c r="FE43" s="134">
        <f t="shared" ca="1" si="46"/>
        <v>0</v>
      </c>
      <c r="FF43" s="134">
        <f t="shared" ca="1" si="57"/>
        <v>0</v>
      </c>
      <c r="FN43" s="754" t="b">
        <v>0</v>
      </c>
      <c r="FO43" s="754" t="b">
        <f t="shared" si="47"/>
        <v>1</v>
      </c>
      <c r="FP43" s="754" t="b">
        <v>0</v>
      </c>
      <c r="FQ43" s="754" t="b">
        <f t="shared" si="58"/>
        <v>1</v>
      </c>
      <c r="GA43" s="1761" t="str">
        <f t="shared" si="92"/>
        <v/>
      </c>
      <c r="GB43" s="1762" t="str">
        <f t="shared" si="93"/>
        <v/>
      </c>
      <c r="GC43" s="1763" t="str">
        <f t="shared" si="94"/>
        <v/>
      </c>
      <c r="GD43" s="1764" t="str">
        <f t="shared" si="95"/>
        <v/>
      </c>
      <c r="GE43" s="1765" t="str">
        <f t="shared" si="48"/>
        <v/>
      </c>
      <c r="GF43" s="582" t="str">
        <f t="shared" si="49"/>
        <v/>
      </c>
      <c r="GG43" s="692"/>
      <c r="GH43" s="1135"/>
      <c r="GI43" s="692"/>
      <c r="GJ43" s="1135"/>
      <c r="GK43" s="1640">
        <f t="shared" si="50"/>
        <v>0</v>
      </c>
      <c r="GL43" s="1640" t="e">
        <f t="shared" si="51"/>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61"/>
        <v>0</v>
      </c>
    </row>
    <row r="44" spans="1:272" ht="12.6" customHeight="1" x14ac:dyDescent="0.25">
      <c r="A44" s="1448" t="str">
        <f t="shared" si="65"/>
        <v/>
      </c>
      <c r="B44" s="1681"/>
      <c r="C44" s="1449"/>
      <c r="D44" s="1705" t="str">
        <f t="shared" si="66"/>
        <v/>
      </c>
      <c r="E44" s="1706" t="str">
        <f t="shared" si="67"/>
        <v/>
      </c>
      <c r="F44" s="1707" t="str">
        <f t="shared" si="68"/>
        <v/>
      </c>
      <c r="G44" s="1708" t="str">
        <f t="shared" si="69"/>
        <v/>
      </c>
      <c r="H44" s="1709" t="str">
        <f t="shared" si="70"/>
        <v/>
      </c>
      <c r="I44" s="1710" t="str">
        <f t="shared" si="71"/>
        <v/>
      </c>
      <c r="J44" s="1705" t="str">
        <f t="shared" si="62"/>
        <v/>
      </c>
      <c r="K44" s="1709" t="str">
        <f t="shared" si="63"/>
        <v/>
      </c>
      <c r="L44" s="1711" t="str">
        <f t="shared" si="64"/>
        <v/>
      </c>
      <c r="M44" s="1712" t="str">
        <f t="shared" si="72"/>
        <v/>
      </c>
      <c r="N44" s="1713" t="str">
        <f t="shared" si="72"/>
        <v/>
      </c>
      <c r="O44" s="1708" t="str">
        <f t="shared" si="73"/>
        <v/>
      </c>
      <c r="P44" s="1709" t="str">
        <f t="shared" si="74"/>
        <v/>
      </c>
      <c r="Q44" s="1705" t="str">
        <f t="shared" si="75"/>
        <v/>
      </c>
      <c r="R44" s="1706" t="str">
        <f t="shared" si="76"/>
        <v/>
      </c>
      <c r="S44" s="1714" t="str">
        <f t="shared" si="77"/>
        <v/>
      </c>
      <c r="T44" s="1709" t="str">
        <f t="shared" si="78"/>
        <v/>
      </c>
      <c r="U44" s="1705" t="str">
        <f t="shared" si="79"/>
        <v/>
      </c>
      <c r="V44" s="1709" t="str">
        <f t="shared" si="80"/>
        <v/>
      </c>
      <c r="W44" s="1713">
        <f t="shared" si="81"/>
        <v>0</v>
      </c>
      <c r="X44" s="1715" t="str">
        <f t="shared" si="0"/>
        <v/>
      </c>
      <c r="Y44" s="1716" t="str">
        <f t="shared" si="1"/>
        <v/>
      </c>
      <c r="Z44" s="1717" t="s">
        <v>116</v>
      </c>
      <c r="AA44" s="1776" t="str">
        <f t="shared" si="2"/>
        <v/>
      </c>
      <c r="AB44" s="1448" t="str">
        <f t="shared" si="82"/>
        <v/>
      </c>
      <c r="AC44" s="1710" t="str">
        <f t="shared" si="83"/>
        <v/>
      </c>
      <c r="AD44" s="1705" t="str">
        <f t="shared" ca="1" si="84"/>
        <v/>
      </c>
      <c r="AE44" s="1709" t="str">
        <f t="shared" ca="1" si="85"/>
        <v/>
      </c>
      <c r="AF44" s="1710" t="str">
        <f t="shared" ca="1" si="86"/>
        <v/>
      </c>
      <c r="AG44" s="1705" t="str">
        <f t="shared" ca="1" si="87"/>
        <v/>
      </c>
      <c r="AH44" s="1709" t="str">
        <f t="shared" ca="1" si="88"/>
        <v/>
      </c>
      <c r="AI44" s="1705" t="str">
        <f t="shared" ca="1" si="89"/>
        <v/>
      </c>
      <c r="AJ44" s="1709" t="str">
        <f t="shared" ca="1" si="90"/>
        <v/>
      </c>
      <c r="AK44" s="1747" t="str">
        <f t="shared" si="3"/>
        <v/>
      </c>
      <c r="AL44" s="1748" t="str">
        <f t="shared" si="91"/>
        <v/>
      </c>
      <c r="AM44" s="1749" t="str">
        <f t="shared" si="3"/>
        <v/>
      </c>
      <c r="AN44" s="1710" t="str">
        <f t="shared" si="3"/>
        <v/>
      </c>
      <c r="AO44" s="1713" t="str">
        <f t="shared" si="3"/>
        <v/>
      </c>
      <c r="AP44" s="1712" t="str">
        <f t="shared" si="4"/>
        <v/>
      </c>
      <c r="AQ44" s="1751" t="str">
        <f t="shared" si="4"/>
        <v/>
      </c>
      <c r="AR44" s="1708" t="str">
        <f t="shared" si="5"/>
        <v/>
      </c>
      <c r="AS44" s="1709" t="str">
        <f t="shared" si="6"/>
        <v/>
      </c>
      <c r="AT44" s="1752" t="str">
        <f t="shared" si="7"/>
        <v/>
      </c>
      <c r="AU44" s="1753" t="str">
        <f t="shared" si="8"/>
        <v/>
      </c>
      <c r="AV44" s="1714" t="str">
        <f t="shared" si="9"/>
        <v/>
      </c>
      <c r="AW44" s="1709" t="str">
        <f t="shared" si="10"/>
        <v/>
      </c>
      <c r="AX44" s="1752" t="str">
        <f t="shared" si="11"/>
        <v/>
      </c>
      <c r="AY44" s="1753" t="str">
        <f t="shared" si="12"/>
        <v/>
      </c>
      <c r="AZ44" s="1714" t="str">
        <f t="shared" si="13"/>
        <v/>
      </c>
      <c r="BA44" s="1709" t="str">
        <f t="shared" si="14"/>
        <v/>
      </c>
      <c r="BB44" s="1752" t="str">
        <f t="shared" si="15"/>
        <v/>
      </c>
      <c r="BC44" s="1753" t="str">
        <f t="shared" si="16"/>
        <v/>
      </c>
      <c r="BD44" s="1714" t="str">
        <f t="shared" si="17"/>
        <v/>
      </c>
      <c r="BE44" s="1709" t="str">
        <f t="shared" si="18"/>
        <v/>
      </c>
      <c r="BF44" s="1752" t="str">
        <f t="shared" si="19"/>
        <v/>
      </c>
      <c r="BG44" s="1753" t="str">
        <f t="shared" si="20"/>
        <v/>
      </c>
      <c r="BH44" s="1416"/>
      <c r="BJ44" s="995" t="str">
        <f t="shared" si="59"/>
        <v/>
      </c>
      <c r="BK44" s="993" t="b">
        <f t="shared" si="21"/>
        <v>0</v>
      </c>
      <c r="BL44" s="1800" t="b">
        <v>0</v>
      </c>
      <c r="BM44" s="989">
        <f t="shared" si="22"/>
        <v>0</v>
      </c>
      <c r="BN44" s="989">
        <f t="shared" si="23"/>
        <v>0</v>
      </c>
      <c r="BO44" s="989">
        <f t="shared" si="24"/>
        <v>0</v>
      </c>
      <c r="BP44" s="989">
        <f t="shared" si="25"/>
        <v>0</v>
      </c>
      <c r="BQ44" s="989">
        <f t="shared" si="26"/>
        <v>0</v>
      </c>
      <c r="BR44" s="989" t="b">
        <f t="shared" si="27"/>
        <v>1</v>
      </c>
      <c r="BS44" s="1302">
        <f t="shared" si="28"/>
        <v>6</v>
      </c>
      <c r="BT44" s="990" t="str">
        <f t="shared" si="29"/>
        <v>No</v>
      </c>
      <c r="BU44" s="1302">
        <f t="shared" si="30"/>
        <v>6</v>
      </c>
      <c r="BV44" s="990" t="str">
        <f t="shared" si="31"/>
        <v>No</v>
      </c>
      <c r="BW44" s="991">
        <f t="shared" ca="1" si="32"/>
        <v>0</v>
      </c>
      <c r="BX44" s="991" t="str">
        <f t="shared" ca="1" si="33"/>
        <v/>
      </c>
      <c r="BY44" s="991" t="b">
        <f t="shared" ca="1" si="34"/>
        <v>0</v>
      </c>
      <c r="BZ44" s="991" t="b">
        <f t="shared" si="52"/>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35"/>
        <v/>
      </c>
      <c r="EN44" s="1428" t="str">
        <f t="shared" si="36"/>
        <v/>
      </c>
      <c r="EO44" s="1429" t="str">
        <f t="shared" si="37"/>
        <v/>
      </c>
      <c r="EP44" s="1430" t="str">
        <f t="shared" si="38"/>
        <v/>
      </c>
      <c r="EQ44" s="1434" t="str">
        <f t="shared" si="39"/>
        <v/>
      </c>
      <c r="ER44" s="1440" t="str">
        <f t="shared" si="40"/>
        <v/>
      </c>
      <c r="ES44" s="1441" t="str">
        <f t="shared" si="41"/>
        <v/>
      </c>
      <c r="ET44" s="1442" t="str">
        <f t="shared" si="42"/>
        <v/>
      </c>
      <c r="EU44" s="1443" t="str">
        <f t="shared" si="53"/>
        <v/>
      </c>
      <c r="EX44" s="503" t="str">
        <f t="shared" ca="1" si="54"/>
        <v/>
      </c>
      <c r="EY44" s="940" t="str">
        <f t="shared" si="43"/>
        <v/>
      </c>
      <c r="EZ44" s="940" t="str">
        <f t="shared" si="55"/>
        <v/>
      </c>
      <c r="FA44" s="958" t="str">
        <f t="shared" ca="1" si="60"/>
        <v/>
      </c>
      <c r="FB44" s="134" t="str">
        <f t="shared" ca="1" si="56"/>
        <v/>
      </c>
      <c r="FC44" s="134">
        <f t="shared" ca="1" si="44"/>
        <v>0</v>
      </c>
      <c r="FD44" s="134">
        <f t="shared" ca="1" si="45"/>
        <v>0</v>
      </c>
      <c r="FE44" s="134">
        <f t="shared" ca="1" si="46"/>
        <v>0</v>
      </c>
      <c r="FF44" s="134">
        <f t="shared" ca="1" si="57"/>
        <v>0</v>
      </c>
      <c r="FN44" s="754" t="b">
        <v>0</v>
      </c>
      <c r="FO44" s="754" t="b">
        <f t="shared" si="47"/>
        <v>1</v>
      </c>
      <c r="FP44" s="754" t="b">
        <v>0</v>
      </c>
      <c r="FQ44" s="754" t="b">
        <f t="shared" si="58"/>
        <v>1</v>
      </c>
      <c r="GA44" s="1761" t="str">
        <f t="shared" si="92"/>
        <v/>
      </c>
      <c r="GB44" s="1762" t="str">
        <f t="shared" si="93"/>
        <v/>
      </c>
      <c r="GC44" s="1763" t="str">
        <f t="shared" si="94"/>
        <v/>
      </c>
      <c r="GD44" s="1764" t="str">
        <f t="shared" si="95"/>
        <v/>
      </c>
      <c r="GE44" s="1765" t="str">
        <f t="shared" si="48"/>
        <v/>
      </c>
      <c r="GF44" s="582" t="str">
        <f t="shared" si="49"/>
        <v/>
      </c>
      <c r="GG44" s="692"/>
      <c r="GH44" s="1135"/>
      <c r="GI44" s="692"/>
      <c r="GJ44" s="1135"/>
      <c r="GK44" s="1640">
        <f t="shared" si="50"/>
        <v>0</v>
      </c>
      <c r="GL44" s="1640" t="e">
        <f t="shared" si="51"/>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61"/>
        <v>0</v>
      </c>
    </row>
    <row r="45" spans="1:272" ht="12.6" customHeight="1" thickBot="1" x14ac:dyDescent="0.35">
      <c r="A45" s="1460" t="str">
        <f t="shared" si="65"/>
        <v/>
      </c>
      <c r="B45" s="1682"/>
      <c r="C45" s="1461"/>
      <c r="D45" s="1719" t="str">
        <f t="shared" si="66"/>
        <v/>
      </c>
      <c r="E45" s="1720" t="str">
        <f t="shared" si="67"/>
        <v/>
      </c>
      <c r="F45" s="1721" t="str">
        <f t="shared" si="68"/>
        <v/>
      </c>
      <c r="G45" s="1722" t="str">
        <f t="shared" si="69"/>
        <v/>
      </c>
      <c r="H45" s="1723" t="str">
        <f t="shared" si="70"/>
        <v/>
      </c>
      <c r="I45" s="1724" t="str">
        <f t="shared" si="71"/>
        <v/>
      </c>
      <c r="J45" s="1719" t="str">
        <f t="shared" si="62"/>
        <v/>
      </c>
      <c r="K45" s="1723" t="str">
        <f t="shared" si="63"/>
        <v/>
      </c>
      <c r="L45" s="1725" t="str">
        <f t="shared" si="64"/>
        <v/>
      </c>
      <c r="M45" s="1726" t="str">
        <f t="shared" si="72"/>
        <v/>
      </c>
      <c r="N45" s="1727" t="str">
        <f t="shared" si="72"/>
        <v/>
      </c>
      <c r="O45" s="1722" t="str">
        <f t="shared" si="73"/>
        <v/>
      </c>
      <c r="P45" s="1723" t="str">
        <f t="shared" si="74"/>
        <v/>
      </c>
      <c r="Q45" s="1719" t="str">
        <f t="shared" si="75"/>
        <v/>
      </c>
      <c r="R45" s="1720" t="str">
        <f t="shared" si="76"/>
        <v/>
      </c>
      <c r="S45" s="1728" t="str">
        <f t="shared" si="77"/>
        <v/>
      </c>
      <c r="T45" s="1723" t="str">
        <f t="shared" si="78"/>
        <v/>
      </c>
      <c r="U45" s="1719" t="str">
        <f t="shared" si="79"/>
        <v/>
      </c>
      <c r="V45" s="1723" t="str">
        <f t="shared" si="80"/>
        <v/>
      </c>
      <c r="W45" s="1727">
        <f t="shared" si="81"/>
        <v>0</v>
      </c>
      <c r="X45" s="1729" t="str">
        <f t="shared" si="0"/>
        <v/>
      </c>
      <c r="Y45" s="1730" t="str">
        <f t="shared" si="1"/>
        <v/>
      </c>
      <c r="Z45" s="1731" t="s">
        <v>116</v>
      </c>
      <c r="AA45" s="1777" t="str">
        <f t="shared" si="2"/>
        <v/>
      </c>
      <c r="AB45" s="1460" t="str">
        <f t="shared" si="82"/>
        <v/>
      </c>
      <c r="AC45" s="1724" t="str">
        <f t="shared" si="83"/>
        <v/>
      </c>
      <c r="AD45" s="1719" t="str">
        <f t="shared" ca="1" si="84"/>
        <v/>
      </c>
      <c r="AE45" s="1723" t="str">
        <f t="shared" ca="1" si="85"/>
        <v/>
      </c>
      <c r="AF45" s="1724" t="str">
        <f t="shared" ca="1" si="86"/>
        <v/>
      </c>
      <c r="AG45" s="1719" t="str">
        <f t="shared" ca="1" si="87"/>
        <v/>
      </c>
      <c r="AH45" s="1723" t="str">
        <f t="shared" ca="1" si="88"/>
        <v/>
      </c>
      <c r="AI45" s="1719" t="str">
        <f t="shared" ca="1" si="89"/>
        <v/>
      </c>
      <c r="AJ45" s="1723" t="str">
        <f t="shared" ca="1" si="90"/>
        <v/>
      </c>
      <c r="AK45" s="1754" t="str">
        <f t="shared" si="3"/>
        <v/>
      </c>
      <c r="AL45" s="1755" t="str">
        <f t="shared" si="91"/>
        <v/>
      </c>
      <c r="AM45" s="1756" t="str">
        <f t="shared" si="3"/>
        <v/>
      </c>
      <c r="AN45" s="1724" t="str">
        <f t="shared" si="3"/>
        <v/>
      </c>
      <c r="AO45" s="1727" t="str">
        <f t="shared" si="3"/>
        <v/>
      </c>
      <c r="AP45" s="1726" t="str">
        <f t="shared" si="4"/>
        <v/>
      </c>
      <c r="AQ45" s="1758" t="str">
        <f t="shared" si="4"/>
        <v/>
      </c>
      <c r="AR45" s="1722" t="str">
        <f t="shared" si="5"/>
        <v/>
      </c>
      <c r="AS45" s="1723" t="str">
        <f t="shared" si="6"/>
        <v/>
      </c>
      <c r="AT45" s="1759" t="str">
        <f t="shared" si="7"/>
        <v/>
      </c>
      <c r="AU45" s="1760" t="str">
        <f t="shared" si="8"/>
        <v/>
      </c>
      <c r="AV45" s="1728" t="str">
        <f t="shared" si="9"/>
        <v/>
      </c>
      <c r="AW45" s="1723" t="str">
        <f t="shared" si="10"/>
        <v/>
      </c>
      <c r="AX45" s="1759" t="str">
        <f t="shared" si="11"/>
        <v/>
      </c>
      <c r="AY45" s="1760" t="str">
        <f t="shared" si="12"/>
        <v/>
      </c>
      <c r="AZ45" s="1728" t="str">
        <f t="shared" si="13"/>
        <v/>
      </c>
      <c r="BA45" s="1723" t="str">
        <f t="shared" si="14"/>
        <v/>
      </c>
      <c r="BB45" s="1759" t="str">
        <f t="shared" si="15"/>
        <v/>
      </c>
      <c r="BC45" s="1760" t="str">
        <f t="shared" si="16"/>
        <v/>
      </c>
      <c r="BD45" s="1728" t="str">
        <f t="shared" si="17"/>
        <v/>
      </c>
      <c r="BE45" s="1723" t="str">
        <f t="shared" si="18"/>
        <v/>
      </c>
      <c r="BF45" s="1759" t="str">
        <f t="shared" si="19"/>
        <v/>
      </c>
      <c r="BG45" s="1760" t="str">
        <f t="shared" si="20"/>
        <v/>
      </c>
      <c r="BH45" s="1416"/>
      <c r="BJ45" s="995" t="str">
        <f t="shared" si="59"/>
        <v/>
      </c>
      <c r="BK45" s="993" t="b">
        <f t="shared" si="21"/>
        <v>0</v>
      </c>
      <c r="BL45" s="1800" t="b">
        <v>0</v>
      </c>
      <c r="BM45" s="989">
        <f t="shared" si="22"/>
        <v>0</v>
      </c>
      <c r="BN45" s="989">
        <f t="shared" si="23"/>
        <v>0</v>
      </c>
      <c r="BO45" s="989">
        <f t="shared" si="24"/>
        <v>0</v>
      </c>
      <c r="BP45" s="989">
        <f t="shared" si="25"/>
        <v>0</v>
      </c>
      <c r="BQ45" s="989">
        <f t="shared" si="26"/>
        <v>0</v>
      </c>
      <c r="BR45" s="989" t="b">
        <f t="shared" si="27"/>
        <v>1</v>
      </c>
      <c r="BS45" s="1302">
        <f t="shared" si="28"/>
        <v>6</v>
      </c>
      <c r="BT45" s="990" t="str">
        <f t="shared" si="29"/>
        <v>No</v>
      </c>
      <c r="BU45" s="1302">
        <f t="shared" si="30"/>
        <v>6</v>
      </c>
      <c r="BV45" s="990" t="str">
        <f t="shared" si="31"/>
        <v>No</v>
      </c>
      <c r="BW45" s="991">
        <f t="shared" ca="1" si="32"/>
        <v>0</v>
      </c>
      <c r="BX45" s="991" t="str">
        <f t="shared" ca="1" si="33"/>
        <v/>
      </c>
      <c r="BY45" s="991" t="b">
        <f t="shared" ca="1" si="34"/>
        <v>0</v>
      </c>
      <c r="BZ45" s="991" t="b">
        <f t="shared" si="52"/>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35"/>
        <v/>
      </c>
      <c r="EN45" s="1635" t="str">
        <f t="shared" si="36"/>
        <v/>
      </c>
      <c r="EO45" s="1431" t="str">
        <f t="shared" si="37"/>
        <v/>
      </c>
      <c r="EP45" s="1432" t="str">
        <f t="shared" si="38"/>
        <v/>
      </c>
      <c r="EQ45" s="1435" t="str">
        <f t="shared" si="39"/>
        <v/>
      </c>
      <c r="ER45" s="1444" t="str">
        <f t="shared" si="40"/>
        <v/>
      </c>
      <c r="ES45" s="1445" t="str">
        <f t="shared" si="41"/>
        <v/>
      </c>
      <c r="ET45" s="1446" t="str">
        <f t="shared" si="42"/>
        <v/>
      </c>
      <c r="EU45" s="1447" t="str">
        <f t="shared" si="53"/>
        <v/>
      </c>
      <c r="EX45" s="503" t="str">
        <f t="shared" ca="1" si="54"/>
        <v/>
      </c>
      <c r="EY45" s="940" t="str">
        <f t="shared" si="43"/>
        <v/>
      </c>
      <c r="EZ45" s="940" t="str">
        <f t="shared" si="55"/>
        <v/>
      </c>
      <c r="FA45" s="958" t="str">
        <f t="shared" ca="1" si="60"/>
        <v/>
      </c>
      <c r="FB45" s="134" t="str">
        <f t="shared" ca="1" si="56"/>
        <v/>
      </c>
      <c r="FC45" s="134">
        <f t="shared" ca="1" si="44"/>
        <v>0</v>
      </c>
      <c r="FD45" s="134">
        <f t="shared" ca="1" si="45"/>
        <v>0</v>
      </c>
      <c r="FE45" s="134">
        <f t="shared" ca="1" si="46"/>
        <v>0</v>
      </c>
      <c r="FF45" s="134">
        <f t="shared" ca="1" si="57"/>
        <v>0</v>
      </c>
      <c r="FN45" s="754" t="b">
        <v>0</v>
      </c>
      <c r="FO45" s="754" t="b">
        <f t="shared" si="47"/>
        <v>1</v>
      </c>
      <c r="FP45" s="754" t="b">
        <v>0</v>
      </c>
      <c r="FQ45" s="754" t="b">
        <f t="shared" si="58"/>
        <v>1</v>
      </c>
      <c r="FW45" s="102"/>
      <c r="FX45" s="102"/>
      <c r="FZ45" s="104"/>
      <c r="GA45" s="1761" t="str">
        <f t="shared" si="92"/>
        <v/>
      </c>
      <c r="GB45" s="1762" t="str">
        <f t="shared" si="93"/>
        <v/>
      </c>
      <c r="GC45" s="1763" t="str">
        <f t="shared" si="94"/>
        <v/>
      </c>
      <c r="GD45" s="1764" t="str">
        <f t="shared" si="95"/>
        <v/>
      </c>
      <c r="GE45" s="1765" t="str">
        <f t="shared" si="48"/>
        <v/>
      </c>
      <c r="GF45" s="582" t="str">
        <f t="shared" si="49"/>
        <v/>
      </c>
      <c r="GG45" s="1136"/>
      <c r="GH45" s="1137"/>
      <c r="GI45" s="1136"/>
      <c r="GJ45" s="1137"/>
      <c r="GK45" s="1640">
        <f t="shared" si="50"/>
        <v>0</v>
      </c>
      <c r="GL45" s="1640" t="e">
        <f t="shared" si="51"/>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61"/>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18</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246"/>
      <c r="FM50" s="246"/>
      <c r="FN50" s="2008" t="s">
        <v>616</v>
      </c>
      <c r="FO50" s="2009"/>
      <c r="FP50" s="2009"/>
      <c r="FQ50" s="2009"/>
      <c r="FR50" s="2009"/>
      <c r="FS50" s="2010"/>
      <c r="FT50" s="2055" t="s">
        <v>617</v>
      </c>
      <c r="FU50" s="2056"/>
      <c r="FV50" s="2056"/>
      <c r="FW50" s="2056"/>
      <c r="FX50" s="2056"/>
      <c r="FY50" s="2056"/>
      <c r="FZ50" s="205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2"/>
      <c r="EQ51" s="1992"/>
      <c r="ER51" s="1992"/>
      <c r="ES51" s="1992"/>
      <c r="ET51" s="1992"/>
      <c r="EU51" s="1992"/>
      <c r="EV51" s="293"/>
      <c r="EW51" s="293"/>
      <c r="EX51" s="1995" t="s">
        <v>618</v>
      </c>
      <c r="EY51" s="1993" t="s">
        <v>619</v>
      </c>
      <c r="EZ51" s="293"/>
      <c r="FA51" s="293"/>
      <c r="FB51" s="293"/>
      <c r="FC51" s="293"/>
      <c r="FD51" s="293"/>
      <c r="FF51" s="2085" t="s">
        <v>947</v>
      </c>
      <c r="FG51" s="2086"/>
      <c r="FH51" s="2086"/>
      <c r="FI51" s="2086"/>
      <c r="FL51" s="246"/>
      <c r="FM51" s="246"/>
      <c r="FN51" s="2011"/>
      <c r="FO51" s="2012"/>
      <c r="FP51" s="2012"/>
      <c r="FQ51" s="2012"/>
      <c r="FR51" s="2012"/>
      <c r="FS51" s="2013"/>
      <c r="FT51" s="2058"/>
      <c r="FU51" s="2059"/>
      <c r="FV51" s="2059"/>
      <c r="FW51" s="2059"/>
      <c r="FX51" s="2059"/>
      <c r="FY51" s="2059"/>
      <c r="FZ51" s="2060"/>
      <c r="GA51" s="245"/>
      <c r="GB51" s="245"/>
      <c r="GC51" s="245"/>
      <c r="GD51" s="245"/>
      <c r="GE51" s="245"/>
      <c r="GF51" s="245"/>
      <c r="GG51" s="245"/>
      <c r="GH51" s="245"/>
      <c r="GI51" s="245"/>
      <c r="GJ51" s="245"/>
      <c r="GK51" s="2"/>
    </row>
    <row r="52" spans="1:193" ht="12.6"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509</v>
      </c>
      <c r="DA52" s="2102"/>
      <c r="DB52" s="2156" t="s">
        <v>510</v>
      </c>
      <c r="DC52" s="2021" t="s">
        <v>513</v>
      </c>
      <c r="DD52" s="2021" t="s">
        <v>514</v>
      </c>
      <c r="DE52" s="2156" t="s">
        <v>544</v>
      </c>
      <c r="DF52" s="2101" t="s">
        <v>511</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2"/>
      <c r="EQ52" s="1992"/>
      <c r="ER52" s="1992"/>
      <c r="ES52" s="1992"/>
      <c r="ET52" s="1992"/>
      <c r="EU52" s="1992"/>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297" t="s">
        <v>493</v>
      </c>
      <c r="FP52" s="2286" t="s">
        <v>494</v>
      </c>
      <c r="FQ52" s="2286" t="s">
        <v>495</v>
      </c>
      <c r="FR52" s="2294" t="s">
        <v>496</v>
      </c>
      <c r="FS52" s="2291"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c r="GK52" s="2"/>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2"/>
      <c r="EQ53" s="1992"/>
      <c r="ER53" s="1992"/>
      <c r="ES53" s="1992"/>
      <c r="ET53" s="1992"/>
      <c r="EU53" s="1992"/>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287"/>
      <c r="FP53" s="2287"/>
      <c r="FQ53" s="2287"/>
      <c r="FR53" s="2287"/>
      <c r="FS53" s="2292"/>
      <c r="FT53" s="2293"/>
      <c r="FU53" s="2285"/>
      <c r="FV53" s="2285"/>
      <c r="FW53" s="2285"/>
      <c r="FX53" s="2285"/>
      <c r="FY53" s="2285"/>
      <c r="FZ53" s="2285"/>
      <c r="GA53" s="2288"/>
      <c r="GB53" s="2290"/>
      <c r="GC53" s="2284"/>
      <c r="GD53" s="208" t="s">
        <v>623</v>
      </c>
      <c r="GE53" s="142" t="s">
        <v>624</v>
      </c>
      <c r="GF53" s="135" t="s">
        <v>626</v>
      </c>
      <c r="GG53" s="135" t="s">
        <v>627</v>
      </c>
      <c r="GH53" s="135" t="s">
        <v>628</v>
      </c>
      <c r="GI53" s="136" t="s">
        <v>629</v>
      </c>
      <c r="GJ53" s="2001"/>
      <c r="GK53" s="757" t="s">
        <v>953</v>
      </c>
    </row>
    <row r="54" spans="1:193" ht="12.6" hidden="1" customHeight="1" thickTop="1" x14ac:dyDescent="0.2">
      <c r="BZ54" s="293"/>
      <c r="CA54" s="293"/>
      <c r="CB54" s="365" t="str">
        <f t="shared" ref="CB54:CB85" si="100">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1">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2">CW14*-1</f>
        <v>0</v>
      </c>
      <c r="CU54" s="1316">
        <f t="shared" ref="CU54:CU85" si="103">IF(DA14="",0,ATAN(DA14/12))</f>
        <v>0</v>
      </c>
      <c r="CV54" s="1310" t="str">
        <f t="shared" ref="CV54:CV85" si="104">IF(OR(CD54="",CE14="",CM54=""),"",CEILING(IF(AND(CE14="",CF14=""),"",((CE14*12+CF14)+CD54+CM54)/COS(EU54))-0.0625,0.125))</f>
        <v/>
      </c>
      <c r="CW54" s="1310" t="str">
        <f t="shared" ref="CW54:CW85" si="105">IF(CF54="","",IF(ABS(EM54)&lt;ABS($FA$2),CF54,IF(EM54=0,CF54,CEILING((CF54+((DC54-CD54)/12)*EM54)-0.0625,0.125))))</f>
        <v/>
      </c>
      <c r="CX54" s="1310" t="str">
        <f t="shared" ref="CX54:CX85" si="106">IF(CO54="","",IF(ABS(ER54)&lt;ABS($FA$2),CO54,IF(ER54=0,CO54,CEILING((CO54+((DI54-CM54)/12)*ER54)-0.0625,0.125))))</f>
        <v/>
      </c>
      <c r="CY54" s="1312">
        <f t="shared" ref="CY54:CY85" si="107">RADIANS(ABS(CL14))</f>
        <v>0</v>
      </c>
      <c r="CZ54" s="1312">
        <f t="shared" ref="CZ54:CZ85" si="108">MIN(IF(CH14&gt;0,CH14/2,MAX(CI14/2,CJ54)),IF(CI14&gt;0,CI14/2,MAX(CH14/2,CJ54)),IF(CJ54&gt;0,CJ54,MAX(CI14/2,CH14/2)))/IF(OR(CC54="C",AND(CC54="M",$FG$1="N")),1,COS(CY54))</f>
        <v>0</v>
      </c>
      <c r="DA54" s="1312" t="str">
        <f t="shared" ref="DA54:DA85" si="109">IF(CD54="","",IF(CJ54&gt;=0,MAX(CH14/2,CI14/2,CJ54),CJ54)/IF(OR(CC54="C",AND(CC54="M",$FG$1="N")),1,COS(CY54)))</f>
        <v/>
      </c>
      <c r="DB54" s="1310" t="str">
        <f>IF(CD54="","",CD54+DA54+($EY$4*TAN(CY54)))</f>
        <v/>
      </c>
      <c r="DC54" s="1310" t="str">
        <f t="shared" ref="DC54:DC85" si="110">IF(CD54="","",IF(NOT(ISBLANK(CO14)),CD54-CO14,MAX(IF(AND(CZ54&gt;=$FB$4,DA54&lt;=$FA$4,OR($FA$1=1,$FA$1=4)),CD54,IF(OR($FA$1=3,$FA$1=4),DB54-$FA$4,DB54+MAX(($FA$4-$FB$4)-(DA54-CZ54)-$EY$4/2*TAN(CY54),0)-$FA$4))-EO54,0)))</f>
        <v/>
      </c>
      <c r="DD54" s="875">
        <f>IF(CD54="",0,IF(DC54/COS(EU54)&lt;0.0625,0,CEILING(DC54/COS(EU54)-0.03125,0.125)))</f>
        <v>0</v>
      </c>
      <c r="DE54" s="873">
        <f t="shared" ref="DE54:DE85" si="111">RADIANS(ABS(CV14))</f>
        <v>0</v>
      </c>
      <c r="DF54" s="874">
        <f t="shared" ref="DF54:DF85" si="112">MIN(IF(CR14&gt;0,CR14/2,MAX(CS14/2,CS54)),IF(CS14&gt;0,CS14/2,MAX(CR14/2,CS54)),IF(CS54&gt;0,CS54,MAX(CS14/2,CR14/2)))/IF(OR(CL54="C",AND(CL54="M",$FG$1="N")),1,COS(DE54))</f>
        <v>0</v>
      </c>
      <c r="DG54" s="874" t="str">
        <f t="shared" ref="DG54:DG85" si="113">IF(CM54="","",IF(CS54&gt;=0,MAX(CR14/2,CS14/2,CS54),CS54)/IF(OR(CL54="C",AND(CL54="M",$FG$1="N")),1,COS(DE54)))</f>
        <v/>
      </c>
      <c r="DH54" s="1310" t="str">
        <f>IF(CM54="","",CM54+DG54+($EY$4*TAN(DE54)))</f>
        <v/>
      </c>
      <c r="DI54" s="1310" t="str">
        <f t="shared" ref="DI54:DI85" si="114">IF(CM54="","",IF(NOT(ISBLANK(CY14)),CM54-CY14,MAX(IF(AND(DF54&gt;=$FB$4,DG54&lt;=$FA$4,OR($FA$1=1,$FA$1=4)),CM54,IF(OR($FA$1=3,$FA$1=4),DH54-$FA$4,DH54+MAX(($FA$4-$FB$4)-(DG54-DF54)-$EY$4/2*TAN(DE54),0)-$FA$4))-ET54,0)-CY14))</f>
        <v/>
      </c>
      <c r="DJ54" s="1311">
        <f>IF(CM54="",0,IF(DI54/COS(EU54)&lt;0.0625,0,CEILING(DI54/COS(EU54)-0.03125,0.125)))</f>
        <v>0</v>
      </c>
      <c r="DK54" s="1310" t="str">
        <f t="shared" ref="DK54:DK85" si="115">IF(CV54="","",CEILING(CV54-DD54-DJ54-0.0625,0.125))</f>
        <v/>
      </c>
      <c r="DL54" s="1310" t="str">
        <f t="shared" ref="DL54:DL85" si="116">IF(AND(EG54="",CH54=""),"",IF(EG54="ERR","ERR",IF(ISNUMBER(EG54),(EG54/2)*-1,CH54)))</f>
        <v/>
      </c>
      <c r="DM54" s="1310" t="str">
        <f t="shared" ref="DM54:DM85" si="117">IF(DL54="ERR","ERR",IF(DL54="","",IF(CR54*TAN(CY54)&lt;=($FE$4-($FD$4-0.0625)),CD54-(DL54-EO54)/IF(OR(CC54="C",AND(CC54="M",$FG$1="N")),1,COS(CY54))-IF(MID(CE54,1,1)="R",0,DC54),(ABS(DL54-EO54)/IF(OR(CC54="C",AND(CC54="M",$FG$1="N")),1,COS(CY54))+CD54)-((CR54/2)*TAN(CY54))-IF(MID(CE54,1,1)="R",0,DC54))))</f>
        <v/>
      </c>
      <c r="DN54" s="1310" t="str">
        <f t="shared" ref="DN54:DN85" si="118">IF(DL54="ERR","ERR",IF(DL54="","",IF(CI54*TAN(CY54)&lt;=($FE$4-($FD$4-0.0625)),CD54-(DL54-EO54)/IF(OR(CC54="C",AND(CC54="M",$FG$1="N")),1,COS(CY54))-IF(MID(CE54,1,1)="R",0,DC54),(ABS(DL54-EO54)/IF(OR(CC54="C",AND(CC54="M",$FG$1="N")),1,COS(CY54))+CD54)+((CI54/2)*TAN(CY54))-IF(MID(CE54,1,1)="R",0,DC54))))</f>
        <v/>
      </c>
      <c r="DO54" s="889" t="str">
        <f t="shared" ref="DO54:DO85" si="119">IF(ISBLANK(CO14),IF(DM54&lt;$EX$6+($FD$4-0.0625)/2,"ERR",IF(DM54&lt;$EX$6+$FE$4/2,($FE$4/2+$EX$6),IF(DM54&lt;$FA$4+IF(MID(CE54,1,1)="R",DC54+CO14,0)-$FE$4/2-$EX$6,DM54,IF(DM54&lt;=$FA$4+IF(MID(CE54,1,1)="R",DC54,0)-($FD$4-0.0625)/2-$EX$6,$FA$4+IF(MID(CE54,1,1)="R",DC54,0)-($FE$4/2+$EX$6),"ERR")))),DM54)</f>
        <v>ERR</v>
      </c>
      <c r="DP54" s="889" t="str">
        <f t="shared" ref="DP54:DP85" si="120">IF(ISBLANK(CO14),IF(DN54&lt;$EX$6+($FD$4-0.0625)/2,"ERR",IF(DN54&lt;0.5+$FE$4/2,($FE$4/2+$EX$6),IF(DN54&lt;$FA$4+IF(MID(CE54,1,1)="R",DC54+CO14,0)-$FE$4/2-$EX$6,DN54,IF(DN54&lt;=$FA$4+IF(MID(CE54,1,1)="R",DC54,0)-($FD$4-0.0625)/2-$EX$6,$FA$4+IF(MID(CE54,1,1)="R",DC54,0)-($FE$4/2+$EX$6),"ERR")))),DN54)</f>
        <v>ERR</v>
      </c>
      <c r="DQ54" s="1310" t="str">
        <f t="shared" ref="DQ54:DR85" si="121">IF(ISERROR(DM54),"ERR",IF(DM54="","",IF(DO54="ERR","ERR",CEILING(DO54-0.0625,0.125))))</f>
        <v/>
      </c>
      <c r="DR54" s="1310" t="str">
        <f t="shared" si="121"/>
        <v/>
      </c>
      <c r="DS54" s="1310" t="str">
        <f t="shared" ref="DS54:DS85" si="122">IF(AND(EJ54="",CQ54=""),"",IF(EJ54="ERR","ERR",IF(ISNUMBER(EJ54),(EJ54/2)*-1,CQ54)))</f>
        <v/>
      </c>
      <c r="DT54" s="1310" t="str">
        <f t="shared" ref="DT54:DT85" si="123">IF(DS54="ERR","ERR",IF(DS54="","",IF(CR54*TAN(DE54)&lt;=($FE$4-($FD$4-0.0625)),CM54-(DS54-ET54)/IF(OR(CL54="C",AND(CL54="M",$FG$1="N")),1,COS(DE54))-IF(MID(CN54,1,1)="R",0,DI54),(ABS(DS54-ET54)/IF(OR(CL54="C",AND(CL54="M",$FG$1="N")),1,COS(DE54))+CM54)-((CR54/2)*TAN(DE54))-IF(MID(CN54,1,1)="R",0,DI54))))</f>
        <v/>
      </c>
      <c r="DU54" s="1310" t="str">
        <f t="shared" ref="DU54:DU85" si="124">IF(DS54="ERR","ERR",IF(DS54="","",IF(CR54*TAN(DE54)&lt;=($FE$4-($FD$4-0.0625)),CM54-(DS54-ET54)/IF(OR(CL54="C",AND(CL54="M",$FG$1="N")),1,COS(DE54))-IF(MID(CN54,1,1)="R",0,DI54),(ABS(DS54-ET54)/IF(OR(CL54="C",AND(CL54="M",$FG$1="N")),1,COS(DE54))+CM54)+((CR54/2)*TAN(DE54))-IF(MID(CN54,1,1)="R",0,DI54))))</f>
        <v/>
      </c>
      <c r="DV54" s="889" t="str">
        <f t="shared" ref="DV54:DV85" si="125">IF(ISBLANK(CY14),IF(DT54&lt;$EX$6+($FD$4-0.0625)/2,"ERR",IF(DT54&lt;$EX$6+$FE$4/2,($FE$4/2+$EX$6),IF(DT54&lt;$FA$4+IF(MID(CN54,1,1)="R",DI54+CY14,0)-$FE$4/2-$EX$6,DT54,IF(DT54&lt;=$FA$4+IF(MID(CN54,1,1)="R",DI54,0)-($FD$4-0.0625)/2-$EX$6,$FA$4+IF(MID(CN54,1,1)="R",DI54,0)-($FE$4/2+$EX$6),"ERR")))),DT54)</f>
        <v>ERR</v>
      </c>
      <c r="DW54" s="889" t="str">
        <f t="shared" ref="DW54:DW85" si="126">IF(ISBLANK(CY14),IF(DU54&lt;$EX$6+($FD$4-0.0625)/2,"ERR",IF(DU54&lt;0.5+$FE$4/2,($FE$4/2+$EX$6),IF(DU54&lt;$FA$4+IF(MID(CN54,1,1)="R",DI54+CY14,0)-$FE$4/2-$EX$6,DU54,IF(DU54&lt;=$FA$4+IF(MID(CN54,1,1)="R",DI54,0)-($FD$4-0.0625)/2-$EX$6,$FA$4+IF(MID(CN54,1,1)="R",DI54,0)-($FE$4/2+$EX$6),"ERR")))),DU54)</f>
        <v>ERR</v>
      </c>
      <c r="DX54" s="873" t="str">
        <f t="shared" ref="DX54:DY74" si="127">IF(ISERROR(DT54),"ERR",IF(DT54="","",IF(DV54="ERR","ERR",CEILING(DV54-0.0625,0.125))))</f>
        <v/>
      </c>
      <c r="DY54" s="873" t="str">
        <f t="shared" si="127"/>
        <v/>
      </c>
      <c r="DZ54" s="873" t="str">
        <f t="shared" ref="DZ54:DZ84" si="128">IF(CG54="","",IF((CD54-CG54)/COS(CU54)-FB54&lt;=-0.0625,CEILING((CD54-CG54)/COS(CU54)-FB54+0.0625,-0.125),IF((CD54-CG54)/COS(CU54)-FB54&gt;=0.0625,CEILING((CD54-CG54)/COS(CU54)-FB54-0.0625,0.125),0)))</f>
        <v/>
      </c>
      <c r="EA54" s="873" t="str">
        <f t="shared" ref="EA54:EA84" si="129">IF(CP54="","",IF((CM54-CP54)/COS(CU54)-FC54&lt;=-0.0625,CEILING((CM54-CP54)/COS(CU54)-FC54+0.0625,-0.125),IF((CM54-CP54)/COS(CU54)-FC54&gt;=0.0625,CEILING((CM54-CP54)/COS(CU54)-FC54-0.0625,0.125),0)))</f>
        <v/>
      </c>
      <c r="EB54" s="876" t="str">
        <f t="shared" ref="EB54:EB85" si="130">IF(CD14="","",$FC$4)</f>
        <v/>
      </c>
      <c r="EC54" s="877" t="str">
        <f t="shared" ref="EC54:EC85" si="131">IF(AND(DR54="",DY54=""),"",IF(OR(CI54=EB54,CR54=EB54),EB54,CI54))</f>
        <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t="str">
        <f t="shared" ref="EO54:EO85" si="143">IF(CF54="","",CF54*TAN(EK54))</f>
        <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t="str">
        <f t="shared" ref="ET54:ET85" si="148">IF(CO54="","",CO54*TAN(EP54))</f>
        <v/>
      </c>
      <c r="EU54" s="873">
        <f t="shared" ref="EU54:EU85" si="149">IF((CE14*12+CF14)/COS(CU54)-(CE14*12+CF14)&lt;$FE$2,0,CU54)</f>
        <v>0</v>
      </c>
      <c r="EV54" s="876" t="e">
        <f t="shared" ref="EV54:EV85" si="150">MIN(IF(CH14&gt;0,CH14/2,MAX(CI14/2,CJ54)),IF(CI14&gt;0,CI14/2,MAX(CH14/2,CJ54)),IF(CJ54&gt;0,CJ54,MAX(CI14/2,CH14/2)))/COS(CY54)+CD54-DC54</f>
        <v>#VALUE!</v>
      </c>
      <c r="EW54" s="876" t="e">
        <f t="shared" ref="EW54:EW85" si="151">MIN(IF(CR14&gt;0,CR14/2,MAX(CS14/2,CS54)),IF(CS14&gt;0,CS14/2,MAX(CR14/2,CS54)),IF(CS54&gt;0,CS54,MAX(CS14/2,CR14/2)))/COS(DE54)+CM54-DI54</f>
        <v>#VALUE!</v>
      </c>
      <c r="EX54" s="878" t="str">
        <f t="shared" ref="EX54:EX85" si="152">IF(CD14="","",IF(EZ54&lt;1.2,5+$EX$4,IF(EZ54&lt;1.79,6+$EX$4,IF(EZ54&lt;2.3,7+$EX$4,IF(EZ54&lt;3.76,8+$EX$4,IF(EZ54&lt;4.76,10+$EX$4,IF(EZ54&lt;8.45,12+$EX$4,"ERR")))))))</f>
        <v/>
      </c>
      <c r="EY54" s="879" t="e">
        <f t="shared" ref="EY54:EY85" si="153">TRUNC(IF(FA54&lt;1.03,25.667,IF(FA54&lt;1.2,29.667,IF(FA54&lt;1.79,33.583,IF(FA54&lt;2.3,37.75,IF(FA54&lt;3.76,42,IF(FA54&lt;4.76,50.167,IF(FA54&lt;8.45,58.167,"ERR"))))))))</f>
        <v>#VALUE!</v>
      </c>
      <c r="EZ54" s="959" t="e">
        <f t="shared" ref="EZ54:EZ85" si="154">(0.03*BP14*((CE14+CF14/12)/BO14)*(BO14^2-IF(ISEVEN(BO14),0,1)))/BM14</f>
        <v>#VALUE!</v>
      </c>
      <c r="FA54" s="960" t="e">
        <f t="shared" ref="FA54:FA85" si="155">(0.026*BP14*((CE14+CF14/12)/BO14)*(BO14^2-IF(ISEVEN(BO14),0,1)))/BM14</f>
        <v>#VALUE!</v>
      </c>
      <c r="FB54" s="880" t="str">
        <f t="shared" ref="FB54:FB85" si="156">IF(CG54="","",IF(ABS(DA14*((BM14-IF(DA14&gt;0,$FF$4,0))/12))&gt;$CX$2,DA14*((BM14-IF(DA14&gt;0,$FF$4,0))/12),0))</f>
        <v/>
      </c>
      <c r="FC54" s="881" t="str">
        <f t="shared" ref="FC54:FC85" si="157">IF(CP54="","",IF(ABS(DA14*((BM14-IF(DA14&lt;0,$FF$4,0))/12))&gt;$CX$2,DA14*((BM14-IF(DA14&lt;0,$FF$4,0))/12)*-1,0))</f>
        <v/>
      </c>
      <c r="FD54" s="890">
        <f t="shared" ref="FD54:FD85" si="158">IF(CF54="",0,MAX(0,DB54-$FA$4))</f>
        <v>0</v>
      </c>
      <c r="FE54" s="833">
        <f t="shared" ref="FE54:FE85" si="159">IF(CO54="",0,MAX(0,DH54-$FA$4))</f>
        <v>0</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
      </c>
      <c r="FL54" s="311" t="e">
        <f>VLOOKUP(DH14,$CB$54:$DK$85,36,FALSE)</f>
        <v>#N/A</v>
      </c>
      <c r="FM54" s="312" t="str">
        <f t="shared" ref="FM54:FM85" si="164">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65">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66">IF(ISBLANK(DT14),"",MAX(0,DT14+VLOOKUP(FK54,$CB$54:$CD$85,3,FALSE)))</f>
        <v/>
      </c>
      <c r="GE54" s="318" t="str">
        <f t="shared" ref="GE54:GE85" si="167">IF(ISBLANK(DU14),"",MAX(0,DU14+VLOOKUP(FK54,$CB$54:$CM$85,12,FALSE)))</f>
        <v/>
      </c>
      <c r="GF54" s="269" t="str">
        <f t="shared" ref="GF54:GF85" si="168">IF(AND(ISBLANK(DV14),ISBLANK(DW14)),"",IF(DV14="P",IF(ISNUMBER(DW14),CONCATENATE("#", DW14),DW14),CEILING((DV14*12+DW14+GC54)/COS(VLOOKUP(FK54,$CB$54:$EU$85,72,FALSE))-0.0625,0.125)))</f>
        <v/>
      </c>
      <c r="GG54" s="270" t="str">
        <f t="shared" ref="GG54:GG85" si="169">IF(AND(ISBLANK(DZ14),ISBLANK(EA14)),"",IF(DZ14="P",IF(ISNUMBER(EA14),CONCATENATE("#", EA14),EA14),CEILING((DZ14*12+EA14+GC54)/COS(VLOOKUP(FK54,$CB$54:$EU$85,72,FALSE))-0.0625,0.125)))</f>
        <v/>
      </c>
      <c r="GH54" s="270" t="str">
        <f t="shared" ref="GH54:GH85" si="170">IF(AND(ISBLANK(ED14),ISBLANK(EE14)),"",IF(ED14="P",IF(ISNUMBER(EE14),CONCATENATE("#", EE14),EE14),CEILING((ED14*12+EE14+GC54)/COS(VLOOKUP(FK54,$CB$54:$EU$85,72,FALSE))-0.0625,0.125)))</f>
        <v/>
      </c>
      <c r="GI54" s="271" t="str">
        <f t="shared" ref="GI54:GI85" si="171">IF(AND(ISBLANK(EH14),ISBLANK(EI14)),"",IF(EH14="P",IF(ISNUMBER(EI14),CONCATENATE("#", EI14),EI14),CEILING((EH14*12+EI14+GC54)/COS(VLOOKUP(FK54,$CB$54:$EU$85,72,FALSE))-0.0625,0.125)))</f>
        <v/>
      </c>
      <c r="GJ54" s="529">
        <f t="shared" ref="GJ54:GJ84" ca="1"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0"/>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1"/>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2"/>
        <v>0</v>
      </c>
      <c r="CU55" s="1316">
        <f t="shared" si="103"/>
        <v>0</v>
      </c>
      <c r="CV55" s="1310" t="str">
        <f t="shared" si="104"/>
        <v/>
      </c>
      <c r="CW55" s="1310" t="str">
        <f t="shared" si="105"/>
        <v/>
      </c>
      <c r="CX55" s="1310" t="str">
        <f t="shared" si="106"/>
        <v/>
      </c>
      <c r="CY55" s="1312">
        <f t="shared" si="107"/>
        <v>0</v>
      </c>
      <c r="CZ55" s="1312">
        <f t="shared" si="108"/>
        <v>0</v>
      </c>
      <c r="DA55" s="1312" t="str">
        <f t="shared" si="109"/>
        <v/>
      </c>
      <c r="DB55" s="1310" t="str">
        <f t="shared" ref="DB55:DB85" si="173">IF(CD55="","",CD55+DA55+($EY$4*TAN(CY55)))</f>
        <v/>
      </c>
      <c r="DC55" s="1310" t="str">
        <f t="shared" si="110"/>
        <v/>
      </c>
      <c r="DD55" s="875">
        <f t="shared" ref="DD55:DD85" si="174">IF(CD55="",0,IF(DC55/COS(EU55)&lt;0.0625,0,CEILING(DC55/COS(EU55)-0.03125,0.125)))</f>
        <v>0</v>
      </c>
      <c r="DE55" s="873">
        <f t="shared" si="111"/>
        <v>0</v>
      </c>
      <c r="DF55" s="874">
        <f t="shared" si="112"/>
        <v>0</v>
      </c>
      <c r="DG55" s="874" t="str">
        <f t="shared" si="113"/>
        <v/>
      </c>
      <c r="DH55" s="1310" t="str">
        <f t="shared" ref="DH55:DH85" si="175">IF(CM55="","",CM55+DG55+($EY$4*TAN(DE55)))</f>
        <v/>
      </c>
      <c r="DI55" s="1310" t="str">
        <f t="shared" si="114"/>
        <v/>
      </c>
      <c r="DJ55" s="1311">
        <f t="shared" ref="DJ55:DJ85" si="176">IF(CM55="",0,IF(DI55/COS(EU55)&lt;0.0625,0,CEILING(DI55/COS(EU55)-0.03125,0.125)))</f>
        <v>0</v>
      </c>
      <c r="DK55" s="1310" t="str">
        <f t="shared" si="115"/>
        <v/>
      </c>
      <c r="DL55" s="1310" t="str">
        <f t="shared" si="116"/>
        <v/>
      </c>
      <c r="DM55" s="1310" t="str">
        <f t="shared" si="117"/>
        <v/>
      </c>
      <c r="DN55" s="1310" t="str">
        <f t="shared" si="118"/>
        <v/>
      </c>
      <c r="DO55" s="889" t="str">
        <f t="shared" si="119"/>
        <v>ERR</v>
      </c>
      <c r="DP55" s="889" t="str">
        <f t="shared" si="120"/>
        <v>ERR</v>
      </c>
      <c r="DQ55" s="1310" t="str">
        <f t="shared" si="121"/>
        <v/>
      </c>
      <c r="DR55" s="1310" t="str">
        <f t="shared" si="121"/>
        <v/>
      </c>
      <c r="DS55" s="1310" t="str">
        <f t="shared" si="122"/>
        <v/>
      </c>
      <c r="DT55" s="1310" t="str">
        <f t="shared" si="123"/>
        <v/>
      </c>
      <c r="DU55" s="1310" t="str">
        <f t="shared" si="124"/>
        <v/>
      </c>
      <c r="DV55" s="889" t="str">
        <f t="shared" si="125"/>
        <v>ERR</v>
      </c>
      <c r="DW55" s="889" t="str">
        <f t="shared" si="126"/>
        <v>ERR</v>
      </c>
      <c r="DX55" s="873" t="str">
        <f t="shared" si="127"/>
        <v/>
      </c>
      <c r="DY55" s="873" t="str">
        <f t="shared" si="127"/>
        <v/>
      </c>
      <c r="DZ55" s="873" t="str">
        <f t="shared" si="128"/>
        <v/>
      </c>
      <c r="EA55" s="873" t="str">
        <f t="shared" si="129"/>
        <v/>
      </c>
      <c r="EB55" s="876" t="str">
        <f t="shared" si="130"/>
        <v/>
      </c>
      <c r="EC55" s="877" t="str">
        <f t="shared" si="131"/>
        <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t="str">
        <f t="shared" si="143"/>
        <v/>
      </c>
      <c r="EP55" s="874">
        <f t="shared" si="144"/>
        <v>0</v>
      </c>
      <c r="EQ55" s="874">
        <f t="shared" si="145"/>
        <v>0</v>
      </c>
      <c r="ER55" s="874">
        <f t="shared" si="146"/>
        <v>0</v>
      </c>
      <c r="ES55" s="874" t="str">
        <f t="shared" si="147"/>
        <v/>
      </c>
      <c r="ET55" s="873" t="str">
        <f t="shared" si="148"/>
        <v/>
      </c>
      <c r="EU55" s="873">
        <f t="shared" si="149"/>
        <v>0</v>
      </c>
      <c r="EV55" s="876" t="e">
        <f t="shared" si="150"/>
        <v>#VALUE!</v>
      </c>
      <c r="EW55" s="876" t="e">
        <f t="shared" si="151"/>
        <v>#VALUE!</v>
      </c>
      <c r="EX55" s="878" t="str">
        <f t="shared" si="152"/>
        <v/>
      </c>
      <c r="EY55" s="879" t="e">
        <f t="shared" si="153"/>
        <v>#VALUE!</v>
      </c>
      <c r="EZ55" s="959" t="e">
        <f t="shared" si="154"/>
        <v>#VALUE!</v>
      </c>
      <c r="FA55" s="960" t="e">
        <f t="shared" si="155"/>
        <v>#VALUE!</v>
      </c>
      <c r="FB55" s="880" t="str">
        <f t="shared" si="156"/>
        <v/>
      </c>
      <c r="FC55" s="881" t="str">
        <f t="shared" si="157"/>
        <v/>
      </c>
      <c r="FD55" s="890">
        <f t="shared" si="158"/>
        <v>0</v>
      </c>
      <c r="FE55" s="833">
        <f t="shared" si="159"/>
        <v>0</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
      </c>
      <c r="FL55" s="320" t="e">
        <f t="shared" ref="FL55:FL85" si="179">IF(ISERROR(VLOOKUP(DH15,$CB$54:$DK$85,36,FALSE)),FL54,VLOOKUP(DH15,$CB$54:$DK$85,36,FALSE))</f>
        <v>#N/A</v>
      </c>
      <c r="FM55" s="312" t="str">
        <f t="shared" si="164"/>
        <v/>
      </c>
      <c r="FN55" s="272" t="str">
        <f t="shared" ref="FN55:FN85" ca="1" si="180">IF(OR(FS55=0,DL15=""),"",IF(UPPER(FM54)="X",0,CEILING(IF(AND(DJ15="",DK15=""),IF(UPPER(FM55)="X",FP55,IF(AND(DM15="",DN15=""),(FS55-FO55*FP55)/2,(DJ15*12+DK15+(DL15*(DM15*12+DN15)))-FO55*FP55)),(DJ15*12+DK15))-0.0625,0.125)))</f>
        <v/>
      </c>
      <c r="FO55" s="273" t="str">
        <f t="shared" ref="FO55:FO85" ca="1" si="181">IF(OR(FS55=0,DL15=""),"",DL15-IF(AND(DJ15="",DK15="",FM54&lt;&gt;"X"),1,0)-IF(AND(DM15="",DN15="",FM55=""),1,0))</f>
        <v/>
      </c>
      <c r="FP55" s="274" t="str">
        <f t="shared" ref="FP55:FP85" ca="1" si="182">IF(OR(FS55=0,DL15=""),"",CEILING(IF(AND(DM15="",DN15=""),IF(DL15=FO55,(FS55-FN55-FQ55)/FO55,(FS55-IF(AND(DJ15="",DK15=""),0,FN55)-IF(FM55="",0,FQ55))/DL15),DM15*12+DN15)-0.0625,0.125))</f>
        <v/>
      </c>
      <c r="FQ55" s="274" t="str">
        <f t="shared" ref="FQ55:FQ85" ca="1" si="183">IF(OR(FS55=0,DL15=""),"",IF(UPPER(FM55)="X",0,FS55-FN55-FO55*FP55))</f>
        <v/>
      </c>
      <c r="FR55" s="321">
        <f t="shared" ref="FR55:FR85" ca="1" si="184">IF(OR(FS55=0,DL15=""),0,FS55-(FN55+FO55*FP55+FQ55))</f>
        <v>0</v>
      </c>
      <c r="FS55" s="322">
        <f t="shared" ref="FS55:FS85" ca="1" si="185">IF(ISBLANK(DH15),IF(FR54=0,IF(OR(DI15="F",DI15="N"),OFFSET(FS54,(-1*(FU54-1)),0),0),FR54),VLOOKUP(DH15,$CB$14:$CF$45,4,FALSE)*12+VLOOKUP(DH15,$CB$14:$CF$45,5,FALSE))</f>
        <v>0</v>
      </c>
      <c r="FT55" s="272" t="str">
        <f t="shared" ref="FT55:FT85" ca="1" si="186">IF(FU55="","",IF(FU55=1,IF(FL55="",OFFSET(FL55,(-1*FU54),0),FL55),FT54-GA54))</f>
        <v/>
      </c>
      <c r="FU55" s="275" t="str">
        <f t="shared" ref="FU55:FU85" ca="1" si="187">IF(FS55=0,"",IF(FR54=0,1,FU54+1))</f>
        <v/>
      </c>
      <c r="FV55" s="323" t="str">
        <f t="shared" ca="1" si="165"/>
        <v/>
      </c>
      <c r="FW55" s="276" t="str">
        <f t="shared" ref="FW55:FW85" ca="1" si="188">IF(OR(FN55=0,FN55=""),"",(FN55+VLOOKUP(FK55,$CB$54:$CD$85,3,FALSE)-VLOOKUP(FK55,$CB$54:$DD$85,29,FALSE))/COS(VLOOKUP(FK55,$CB$54:$EU$85,72,FALSE)))</f>
        <v/>
      </c>
      <c r="FX55" s="276" t="str">
        <f t="shared" ref="FX55:FX85" ca="1" si="189">IF(FO55=0,0,IF(FP55="","",CEILING(FP55/COS(VLOOKUP(FK55,$CB$54:$EU$85,72,FALSE))-0.0625,0.125)))</f>
        <v/>
      </c>
      <c r="FY55" s="276" t="str">
        <f t="shared" ref="FY55:FY85" ca="1" si="190">IF(OR(FQ55=0,FQ55=""),"",FT55-IF(FW55="",0,FW55)-FO55*FX55)</f>
        <v/>
      </c>
      <c r="FZ55" s="276" t="str">
        <f t="shared" ref="FZ55:FZ85" ca="1" si="191">IF(FY55="","",CEILING(FT55-IF(FV55="",0,FV55)-(FO55*FX55)-0.0625,0.125))</f>
        <v/>
      </c>
      <c r="GA55" s="276" t="str">
        <f t="shared" ref="GA55:GA85" ca="1" si="192">IF(FP55="","",IF(FW55="",0,FW55)+FO55*FX55+IF(FY55="",0,FY55))</f>
        <v/>
      </c>
      <c r="GB55" s="277" t="str">
        <f ca="1">IF(FY55="","",2+SUM(FO55:OFFSET(FO55,(FU55-1)*-1,0)))</f>
        <v/>
      </c>
      <c r="GC55" s="316" t="e">
        <f t="shared" ref="GC55:GC85" si="193">IF(ISERROR(VLOOKUP(DH15,$CB$54:$CD$85,3,FALSE)),GC54,VLOOKUP(DH15,$CB$54:$CD$85,3,FALSE))</f>
        <v>#N/A</v>
      </c>
      <c r="GD55" s="324" t="str">
        <f t="shared" si="166"/>
        <v/>
      </c>
      <c r="GE55" s="325" t="str">
        <f t="shared" si="167"/>
        <v/>
      </c>
      <c r="GF55" s="278" t="str">
        <f t="shared" si="168"/>
        <v/>
      </c>
      <c r="GG55" s="279" t="str">
        <f t="shared" si="169"/>
        <v/>
      </c>
      <c r="GH55" s="279" t="str">
        <f t="shared" si="170"/>
        <v/>
      </c>
      <c r="GI55" s="280" t="str">
        <f t="shared" si="171"/>
        <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0"/>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1"/>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2"/>
        <v>0</v>
      </c>
      <c r="CU56" s="1316">
        <f t="shared" si="103"/>
        <v>0</v>
      </c>
      <c r="CV56" s="1310" t="str">
        <f t="shared" si="104"/>
        <v/>
      </c>
      <c r="CW56" s="1310" t="str">
        <f t="shared" si="105"/>
        <v/>
      </c>
      <c r="CX56" s="1310" t="str">
        <f t="shared" si="106"/>
        <v/>
      </c>
      <c r="CY56" s="1312">
        <f t="shared" si="107"/>
        <v>0</v>
      </c>
      <c r="CZ56" s="1312">
        <f t="shared" si="108"/>
        <v>0</v>
      </c>
      <c r="DA56" s="1312" t="str">
        <f t="shared" si="109"/>
        <v/>
      </c>
      <c r="DB56" s="1310" t="str">
        <f t="shared" si="173"/>
        <v/>
      </c>
      <c r="DC56" s="1310" t="str">
        <f t="shared" si="110"/>
        <v/>
      </c>
      <c r="DD56" s="875">
        <f t="shared" si="174"/>
        <v>0</v>
      </c>
      <c r="DE56" s="873">
        <f t="shared" si="111"/>
        <v>0</v>
      </c>
      <c r="DF56" s="874">
        <f t="shared" si="112"/>
        <v>0</v>
      </c>
      <c r="DG56" s="874" t="str">
        <f t="shared" si="113"/>
        <v/>
      </c>
      <c r="DH56" s="1310" t="str">
        <f t="shared" si="175"/>
        <v/>
      </c>
      <c r="DI56" s="1310" t="str">
        <f t="shared" si="114"/>
        <v/>
      </c>
      <c r="DJ56" s="1311">
        <f t="shared" si="176"/>
        <v>0</v>
      </c>
      <c r="DK56" s="1310" t="str">
        <f t="shared" si="115"/>
        <v/>
      </c>
      <c r="DL56" s="1310" t="str">
        <f t="shared" si="116"/>
        <v/>
      </c>
      <c r="DM56" s="1310" t="str">
        <f t="shared" si="117"/>
        <v/>
      </c>
      <c r="DN56" s="1310" t="str">
        <f t="shared" si="118"/>
        <v/>
      </c>
      <c r="DO56" s="889" t="str">
        <f t="shared" si="119"/>
        <v>ERR</v>
      </c>
      <c r="DP56" s="889" t="str">
        <f t="shared" si="120"/>
        <v>ERR</v>
      </c>
      <c r="DQ56" s="1310" t="str">
        <f t="shared" si="121"/>
        <v/>
      </c>
      <c r="DR56" s="1310" t="str">
        <f t="shared" si="121"/>
        <v/>
      </c>
      <c r="DS56" s="1310" t="str">
        <f t="shared" si="122"/>
        <v/>
      </c>
      <c r="DT56" s="1310" t="str">
        <f t="shared" si="123"/>
        <v/>
      </c>
      <c r="DU56" s="1310" t="str">
        <f t="shared" si="124"/>
        <v/>
      </c>
      <c r="DV56" s="889" t="str">
        <f t="shared" si="125"/>
        <v>ERR</v>
      </c>
      <c r="DW56" s="889" t="str">
        <f t="shared" si="126"/>
        <v>ERR</v>
      </c>
      <c r="DX56" s="873" t="str">
        <f t="shared" si="127"/>
        <v/>
      </c>
      <c r="DY56" s="873" t="str">
        <f t="shared" si="127"/>
        <v/>
      </c>
      <c r="DZ56" s="873" t="str">
        <f t="shared" si="128"/>
        <v/>
      </c>
      <c r="EA56" s="873" t="str">
        <f t="shared" si="129"/>
        <v/>
      </c>
      <c r="EB56" s="876" t="str">
        <f t="shared" si="130"/>
        <v/>
      </c>
      <c r="EC56" s="877" t="str">
        <f t="shared" si="131"/>
        <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t="str">
        <f t="shared" si="143"/>
        <v/>
      </c>
      <c r="EP56" s="874">
        <f t="shared" si="144"/>
        <v>0</v>
      </c>
      <c r="EQ56" s="874">
        <f t="shared" si="145"/>
        <v>0</v>
      </c>
      <c r="ER56" s="874">
        <f t="shared" si="146"/>
        <v>0</v>
      </c>
      <c r="ES56" s="874" t="str">
        <f t="shared" si="147"/>
        <v/>
      </c>
      <c r="ET56" s="873" t="str">
        <f t="shared" si="148"/>
        <v/>
      </c>
      <c r="EU56" s="873">
        <f t="shared" si="149"/>
        <v>0</v>
      </c>
      <c r="EV56" s="876" t="e">
        <f t="shared" si="150"/>
        <v>#VALUE!</v>
      </c>
      <c r="EW56" s="876" t="e">
        <f t="shared" si="151"/>
        <v>#VALUE!</v>
      </c>
      <c r="EX56" s="878" t="str">
        <f t="shared" si="152"/>
        <v/>
      </c>
      <c r="EY56" s="879" t="e">
        <f t="shared" si="153"/>
        <v>#VALUE!</v>
      </c>
      <c r="EZ56" s="959" t="e">
        <f t="shared" si="154"/>
        <v>#VALUE!</v>
      </c>
      <c r="FA56" s="960" t="e">
        <f t="shared" si="155"/>
        <v>#VALUE!</v>
      </c>
      <c r="FB56" s="880" t="str">
        <f t="shared" si="156"/>
        <v/>
      </c>
      <c r="FC56" s="881" t="str">
        <f t="shared" si="157"/>
        <v/>
      </c>
      <c r="FD56" s="890">
        <f t="shared" si="158"/>
        <v>0</v>
      </c>
      <c r="FE56" s="833">
        <f t="shared" si="159"/>
        <v>0</v>
      </c>
      <c r="FF56" s="754" t="b">
        <f t="shared" si="160"/>
        <v>0</v>
      </c>
      <c r="FG56" s="754" t="b">
        <f t="shared" si="161"/>
        <v>0</v>
      </c>
      <c r="FH56" s="754" t="b">
        <f t="shared" si="162"/>
        <v>0</v>
      </c>
      <c r="FI56" s="754" t="b">
        <f t="shared" si="163"/>
        <v>0</v>
      </c>
      <c r="FJ56" s="920" t="str">
        <f t="shared" si="177"/>
        <v/>
      </c>
      <c r="FK56" s="919" t="str">
        <f t="shared" si="178"/>
        <v/>
      </c>
      <c r="FL56" s="320" t="e">
        <f t="shared" si="179"/>
        <v>#N/A</v>
      </c>
      <c r="FM56" s="312" t="str">
        <f t="shared" si="164"/>
        <v/>
      </c>
      <c r="FN56" s="272" t="str">
        <f t="shared" ca="1" si="180"/>
        <v/>
      </c>
      <c r="FO56" s="273" t="str">
        <f t="shared" ca="1" si="181"/>
        <v/>
      </c>
      <c r="FP56" s="274" t="str">
        <f t="shared" ca="1" si="182"/>
        <v/>
      </c>
      <c r="FQ56" s="274" t="str">
        <f t="shared" ca="1" si="183"/>
        <v/>
      </c>
      <c r="FR56" s="321">
        <f t="shared" ca="1" si="184"/>
        <v>0</v>
      </c>
      <c r="FS56" s="322">
        <f t="shared" ca="1" si="185"/>
        <v>0</v>
      </c>
      <c r="FT56" s="272" t="str">
        <f t="shared" ca="1" si="186"/>
        <v/>
      </c>
      <c r="FU56" s="275" t="str">
        <f t="shared" ca="1" si="187"/>
        <v/>
      </c>
      <c r="FV56" s="323" t="str">
        <f t="shared" ca="1" si="165"/>
        <v/>
      </c>
      <c r="FW56" s="276" t="str">
        <f t="shared" ca="1" si="188"/>
        <v/>
      </c>
      <c r="FX56" s="276" t="str">
        <f t="shared" ca="1" si="189"/>
        <v/>
      </c>
      <c r="FY56" s="276" t="str">
        <f t="shared" ca="1" si="190"/>
        <v/>
      </c>
      <c r="FZ56" s="276" t="str">
        <f t="shared" ca="1" si="191"/>
        <v/>
      </c>
      <c r="GA56" s="276" t="str">
        <f t="shared" ca="1" si="192"/>
        <v/>
      </c>
      <c r="GB56" s="277" t="str">
        <f ca="1">IF(FY56="","",2+SUM(FO56:OFFSET(FO56,(FU56-1)*-1,0)))</f>
        <v/>
      </c>
      <c r="GC56" s="316" t="e">
        <f t="shared" si="193"/>
        <v>#N/A</v>
      </c>
      <c r="GD56" s="324" t="str">
        <f t="shared" si="166"/>
        <v/>
      </c>
      <c r="GE56" s="325" t="str">
        <f t="shared" si="167"/>
        <v/>
      </c>
      <c r="GF56" s="278" t="str">
        <f t="shared" si="168"/>
        <v/>
      </c>
      <c r="GG56" s="279" t="str">
        <f t="shared" si="169"/>
        <v/>
      </c>
      <c r="GH56" s="279" t="str">
        <f t="shared" si="170"/>
        <v/>
      </c>
      <c r="GI56" s="280" t="str">
        <f t="shared" si="171"/>
        <v/>
      </c>
      <c r="GJ56" s="530">
        <f t="shared" ca="1" si="172"/>
        <v>0</v>
      </c>
      <c r="GK56" s="895" t="str">
        <f t="shared" ca="1" si="194"/>
        <v/>
      </c>
    </row>
    <row r="57" spans="1:193" ht="12.6" hidden="1" customHeight="1" x14ac:dyDescent="0.2">
      <c r="BZ57" s="293"/>
      <c r="CA57" s="293"/>
      <c r="CB57" s="365" t="str">
        <f t="shared" si="100"/>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1"/>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2"/>
        <v>0</v>
      </c>
      <c r="CU57" s="1316">
        <f t="shared" si="103"/>
        <v>0</v>
      </c>
      <c r="CV57" s="1310" t="str">
        <f t="shared" si="104"/>
        <v/>
      </c>
      <c r="CW57" s="1310" t="str">
        <f t="shared" si="105"/>
        <v/>
      </c>
      <c r="CX57" s="1310" t="str">
        <f t="shared" si="106"/>
        <v/>
      </c>
      <c r="CY57" s="1312">
        <f t="shared" si="107"/>
        <v>0</v>
      </c>
      <c r="CZ57" s="1312">
        <f t="shared" si="108"/>
        <v>0</v>
      </c>
      <c r="DA57" s="1312" t="str">
        <f t="shared" si="109"/>
        <v/>
      </c>
      <c r="DB57" s="1310" t="str">
        <f t="shared" si="173"/>
        <v/>
      </c>
      <c r="DC57" s="1310" t="str">
        <f t="shared" si="110"/>
        <v/>
      </c>
      <c r="DD57" s="875">
        <f t="shared" si="174"/>
        <v>0</v>
      </c>
      <c r="DE57" s="873">
        <f t="shared" si="111"/>
        <v>0</v>
      </c>
      <c r="DF57" s="874">
        <f t="shared" si="112"/>
        <v>0</v>
      </c>
      <c r="DG57" s="874" t="str">
        <f t="shared" si="113"/>
        <v/>
      </c>
      <c r="DH57" s="1310" t="str">
        <f t="shared" si="175"/>
        <v/>
      </c>
      <c r="DI57" s="1310" t="str">
        <f t="shared" si="114"/>
        <v/>
      </c>
      <c r="DJ57" s="1311">
        <f t="shared" si="176"/>
        <v>0</v>
      </c>
      <c r="DK57" s="1310" t="str">
        <f t="shared" si="115"/>
        <v/>
      </c>
      <c r="DL57" s="1310" t="str">
        <f t="shared" si="116"/>
        <v/>
      </c>
      <c r="DM57" s="1310" t="str">
        <f t="shared" si="117"/>
        <v/>
      </c>
      <c r="DN57" s="1310" t="str">
        <f t="shared" si="118"/>
        <v/>
      </c>
      <c r="DO57" s="889" t="str">
        <f t="shared" si="119"/>
        <v>ERR</v>
      </c>
      <c r="DP57" s="889" t="str">
        <f t="shared" si="120"/>
        <v>ERR</v>
      </c>
      <c r="DQ57" s="1310" t="str">
        <f t="shared" si="121"/>
        <v/>
      </c>
      <c r="DR57" s="1310" t="str">
        <f t="shared" si="121"/>
        <v/>
      </c>
      <c r="DS57" s="1310" t="str">
        <f t="shared" si="122"/>
        <v/>
      </c>
      <c r="DT57" s="1310" t="str">
        <f t="shared" si="123"/>
        <v/>
      </c>
      <c r="DU57" s="1310" t="str">
        <f t="shared" si="124"/>
        <v/>
      </c>
      <c r="DV57" s="889" t="str">
        <f t="shared" si="125"/>
        <v>ERR</v>
      </c>
      <c r="DW57" s="889" t="str">
        <f t="shared" si="126"/>
        <v>ERR</v>
      </c>
      <c r="DX57" s="873" t="str">
        <f t="shared" si="127"/>
        <v/>
      </c>
      <c r="DY57" s="873" t="str">
        <f t="shared" si="127"/>
        <v/>
      </c>
      <c r="DZ57" s="873" t="str">
        <f t="shared" si="128"/>
        <v/>
      </c>
      <c r="EA57" s="873" t="str">
        <f t="shared" si="129"/>
        <v/>
      </c>
      <c r="EB57" s="876" t="str">
        <f t="shared" si="130"/>
        <v/>
      </c>
      <c r="EC57" s="877" t="str">
        <f t="shared" si="131"/>
        <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t="str">
        <f t="shared" si="143"/>
        <v/>
      </c>
      <c r="EP57" s="874">
        <f t="shared" si="144"/>
        <v>0</v>
      </c>
      <c r="EQ57" s="874">
        <f t="shared" si="145"/>
        <v>0</v>
      </c>
      <c r="ER57" s="874">
        <f t="shared" si="146"/>
        <v>0</v>
      </c>
      <c r="ES57" s="874" t="str">
        <f t="shared" si="147"/>
        <v/>
      </c>
      <c r="ET57" s="873" t="str">
        <f t="shared" si="148"/>
        <v/>
      </c>
      <c r="EU57" s="873">
        <f t="shared" si="149"/>
        <v>0</v>
      </c>
      <c r="EV57" s="876" t="e">
        <f t="shared" si="150"/>
        <v>#VALUE!</v>
      </c>
      <c r="EW57" s="876" t="e">
        <f t="shared" si="151"/>
        <v>#VALUE!</v>
      </c>
      <c r="EX57" s="878" t="str">
        <f t="shared" si="152"/>
        <v/>
      </c>
      <c r="EY57" s="879" t="e">
        <f t="shared" si="153"/>
        <v>#VALUE!</v>
      </c>
      <c r="EZ57" s="959" t="e">
        <f t="shared" si="154"/>
        <v>#VALUE!</v>
      </c>
      <c r="FA57" s="960" t="e">
        <f t="shared" si="155"/>
        <v>#VALUE!</v>
      </c>
      <c r="FB57" s="880" t="str">
        <f t="shared" si="156"/>
        <v/>
      </c>
      <c r="FC57" s="881" t="str">
        <f t="shared" si="157"/>
        <v/>
      </c>
      <c r="FD57" s="890">
        <f t="shared" si="158"/>
        <v>0</v>
      </c>
      <c r="FE57" s="833">
        <f t="shared" si="159"/>
        <v>0</v>
      </c>
      <c r="FF57" s="754" t="b">
        <f t="shared" si="160"/>
        <v>0</v>
      </c>
      <c r="FG57" s="754" t="b">
        <f t="shared" si="161"/>
        <v>0</v>
      </c>
      <c r="FH57" s="754" t="b">
        <f t="shared" si="162"/>
        <v>0</v>
      </c>
      <c r="FI57" s="754" t="b">
        <f t="shared" si="163"/>
        <v>0</v>
      </c>
      <c r="FJ57" s="920" t="str">
        <f t="shared" si="177"/>
        <v/>
      </c>
      <c r="FK57" s="919" t="str">
        <f t="shared" si="178"/>
        <v/>
      </c>
      <c r="FL57" s="320" t="e">
        <f t="shared" si="179"/>
        <v>#N/A</v>
      </c>
      <c r="FM57" s="312" t="str">
        <f t="shared" si="164"/>
        <v/>
      </c>
      <c r="FN57" s="272" t="str">
        <f t="shared" ca="1" si="180"/>
        <v/>
      </c>
      <c r="FO57" s="273" t="str">
        <f t="shared" ca="1" si="181"/>
        <v/>
      </c>
      <c r="FP57" s="274" t="str">
        <f t="shared" ca="1" si="182"/>
        <v/>
      </c>
      <c r="FQ57" s="274" t="str">
        <f t="shared" ca="1" si="183"/>
        <v/>
      </c>
      <c r="FR57" s="321">
        <f t="shared" ca="1" si="184"/>
        <v>0</v>
      </c>
      <c r="FS57" s="322">
        <f t="shared" ca="1" si="185"/>
        <v>0</v>
      </c>
      <c r="FT57" s="272" t="str">
        <f t="shared" ca="1" si="186"/>
        <v/>
      </c>
      <c r="FU57" s="275" t="str">
        <f t="shared" ca="1" si="187"/>
        <v/>
      </c>
      <c r="FV57" s="323" t="str">
        <f t="shared" ca="1" si="165"/>
        <v/>
      </c>
      <c r="FW57" s="276" t="str">
        <f t="shared" ca="1" si="188"/>
        <v/>
      </c>
      <c r="FX57" s="276" t="str">
        <f t="shared" ca="1" si="189"/>
        <v/>
      </c>
      <c r="FY57" s="276" t="str">
        <f t="shared" ca="1" si="190"/>
        <v/>
      </c>
      <c r="FZ57" s="276" t="str">
        <f t="shared" ca="1" si="191"/>
        <v/>
      </c>
      <c r="GA57" s="276" t="str">
        <f t="shared" ca="1" si="192"/>
        <v/>
      </c>
      <c r="GB57" s="277" t="str">
        <f ca="1">IF(FY57="","",2+SUM(FO57:OFFSET(FO57,(FU57-1)*-1,0)))</f>
        <v/>
      </c>
      <c r="GC57" s="316" t="e">
        <f t="shared" si="193"/>
        <v>#N/A</v>
      </c>
      <c r="GD57" s="324" t="str">
        <f t="shared" si="166"/>
        <v/>
      </c>
      <c r="GE57" s="325" t="str">
        <f t="shared" si="167"/>
        <v/>
      </c>
      <c r="GF57" s="278" t="str">
        <f t="shared" si="168"/>
        <v/>
      </c>
      <c r="GG57" s="279" t="str">
        <f t="shared" si="169"/>
        <v/>
      </c>
      <c r="GH57" s="279" t="str">
        <f t="shared" si="170"/>
        <v/>
      </c>
      <c r="GI57" s="280" t="str">
        <f t="shared" si="171"/>
        <v/>
      </c>
      <c r="GJ57" s="530">
        <f t="shared" ca="1" si="172"/>
        <v>0</v>
      </c>
      <c r="GK57" s="895" t="str">
        <f t="shared" ca="1" si="194"/>
        <v/>
      </c>
    </row>
    <row r="58" spans="1:193" ht="12.6" hidden="1" customHeight="1" x14ac:dyDescent="0.2">
      <c r="BZ58" s="293"/>
      <c r="CA58" s="293"/>
      <c r="CB58" s="365" t="str">
        <f t="shared" si="100"/>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1"/>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2"/>
        <v>0</v>
      </c>
      <c r="CU58" s="1316">
        <f t="shared" si="103"/>
        <v>0</v>
      </c>
      <c r="CV58" s="1310" t="str">
        <f t="shared" si="104"/>
        <v/>
      </c>
      <c r="CW58" s="1310" t="str">
        <f t="shared" si="105"/>
        <v/>
      </c>
      <c r="CX58" s="1310" t="str">
        <f t="shared" si="106"/>
        <v/>
      </c>
      <c r="CY58" s="1312">
        <f t="shared" si="107"/>
        <v>0</v>
      </c>
      <c r="CZ58" s="1312">
        <f t="shared" si="108"/>
        <v>0</v>
      </c>
      <c r="DA58" s="1312" t="str">
        <f t="shared" si="109"/>
        <v/>
      </c>
      <c r="DB58" s="1310" t="str">
        <f t="shared" si="173"/>
        <v/>
      </c>
      <c r="DC58" s="1310" t="str">
        <f t="shared" si="110"/>
        <v/>
      </c>
      <c r="DD58" s="875">
        <f t="shared" si="174"/>
        <v>0</v>
      </c>
      <c r="DE58" s="873">
        <f t="shared" si="111"/>
        <v>0</v>
      </c>
      <c r="DF58" s="874">
        <f t="shared" si="112"/>
        <v>0</v>
      </c>
      <c r="DG58" s="874" t="str">
        <f t="shared" si="113"/>
        <v/>
      </c>
      <c r="DH58" s="1310" t="str">
        <f t="shared" si="175"/>
        <v/>
      </c>
      <c r="DI58" s="1310" t="str">
        <f t="shared" si="114"/>
        <v/>
      </c>
      <c r="DJ58" s="1311">
        <f t="shared" si="176"/>
        <v>0</v>
      </c>
      <c r="DK58" s="1310" t="str">
        <f t="shared" si="115"/>
        <v/>
      </c>
      <c r="DL58" s="1310" t="str">
        <f t="shared" si="116"/>
        <v/>
      </c>
      <c r="DM58" s="1310" t="str">
        <f t="shared" si="117"/>
        <v/>
      </c>
      <c r="DN58" s="1310" t="str">
        <f t="shared" si="118"/>
        <v/>
      </c>
      <c r="DO58" s="889" t="str">
        <f t="shared" si="119"/>
        <v>ERR</v>
      </c>
      <c r="DP58" s="889" t="str">
        <f t="shared" si="120"/>
        <v>ERR</v>
      </c>
      <c r="DQ58" s="1310" t="str">
        <f t="shared" si="121"/>
        <v/>
      </c>
      <c r="DR58" s="1310" t="str">
        <f t="shared" si="121"/>
        <v/>
      </c>
      <c r="DS58" s="1310" t="str">
        <f t="shared" si="122"/>
        <v/>
      </c>
      <c r="DT58" s="1310" t="str">
        <f t="shared" si="123"/>
        <v/>
      </c>
      <c r="DU58" s="1310" t="str">
        <f t="shared" si="124"/>
        <v/>
      </c>
      <c r="DV58" s="889" t="str">
        <f t="shared" si="125"/>
        <v>ERR</v>
      </c>
      <c r="DW58" s="889" t="str">
        <f t="shared" si="126"/>
        <v>ERR</v>
      </c>
      <c r="DX58" s="873" t="str">
        <f t="shared" si="127"/>
        <v/>
      </c>
      <c r="DY58" s="873" t="str">
        <f t="shared" si="127"/>
        <v/>
      </c>
      <c r="DZ58" s="873" t="str">
        <f t="shared" si="128"/>
        <v/>
      </c>
      <c r="EA58" s="873" t="str">
        <f t="shared" si="129"/>
        <v/>
      </c>
      <c r="EB58" s="876" t="str">
        <f t="shared" si="130"/>
        <v/>
      </c>
      <c r="EC58" s="877" t="str">
        <f t="shared" si="131"/>
        <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t="str">
        <f t="shared" si="143"/>
        <v/>
      </c>
      <c r="EP58" s="874">
        <f t="shared" si="144"/>
        <v>0</v>
      </c>
      <c r="EQ58" s="874">
        <f t="shared" si="145"/>
        <v>0</v>
      </c>
      <c r="ER58" s="874">
        <f t="shared" si="146"/>
        <v>0</v>
      </c>
      <c r="ES58" s="874" t="str">
        <f t="shared" si="147"/>
        <v/>
      </c>
      <c r="ET58" s="873" t="str">
        <f t="shared" si="148"/>
        <v/>
      </c>
      <c r="EU58" s="873">
        <f t="shared" si="149"/>
        <v>0</v>
      </c>
      <c r="EV58" s="876" t="e">
        <f t="shared" si="150"/>
        <v>#VALUE!</v>
      </c>
      <c r="EW58" s="876" t="e">
        <f t="shared" si="151"/>
        <v>#VALUE!</v>
      </c>
      <c r="EX58" s="878" t="str">
        <f t="shared" si="152"/>
        <v/>
      </c>
      <c r="EY58" s="879" t="e">
        <f t="shared" si="153"/>
        <v>#VALUE!</v>
      </c>
      <c r="EZ58" s="959" t="e">
        <f t="shared" si="154"/>
        <v>#VALUE!</v>
      </c>
      <c r="FA58" s="960" t="e">
        <f t="shared" si="155"/>
        <v>#VALUE!</v>
      </c>
      <c r="FB58" s="880" t="str">
        <f t="shared" si="156"/>
        <v/>
      </c>
      <c r="FC58" s="881" t="str">
        <f t="shared" si="157"/>
        <v/>
      </c>
      <c r="FD58" s="890">
        <f t="shared" si="158"/>
        <v>0</v>
      </c>
      <c r="FE58" s="833">
        <f t="shared" si="159"/>
        <v>0</v>
      </c>
      <c r="FF58" s="754" t="b">
        <f t="shared" si="160"/>
        <v>0</v>
      </c>
      <c r="FG58" s="754" t="b">
        <f t="shared" si="161"/>
        <v>0</v>
      </c>
      <c r="FH58" s="754" t="b">
        <f t="shared" si="162"/>
        <v>0</v>
      </c>
      <c r="FI58" s="754" t="b">
        <f t="shared" si="163"/>
        <v>0</v>
      </c>
      <c r="FJ58" s="920" t="str">
        <f t="shared" si="177"/>
        <v/>
      </c>
      <c r="FK58" s="919" t="str">
        <f t="shared" si="178"/>
        <v/>
      </c>
      <c r="FL58" s="320" t="e">
        <f t="shared" si="179"/>
        <v>#N/A</v>
      </c>
      <c r="FM58" s="312" t="str">
        <f t="shared" si="164"/>
        <v/>
      </c>
      <c r="FN58" s="272" t="str">
        <f t="shared" ca="1" si="180"/>
        <v/>
      </c>
      <c r="FO58" s="273" t="str">
        <f t="shared" ca="1" si="181"/>
        <v/>
      </c>
      <c r="FP58" s="274" t="str">
        <f t="shared" ca="1" si="182"/>
        <v/>
      </c>
      <c r="FQ58" s="274" t="str">
        <f t="shared" ca="1" si="183"/>
        <v/>
      </c>
      <c r="FR58" s="321">
        <f t="shared" ca="1" si="184"/>
        <v>0</v>
      </c>
      <c r="FS58" s="322">
        <f t="shared" ca="1" si="185"/>
        <v>0</v>
      </c>
      <c r="FT58" s="272" t="str">
        <f t="shared" ca="1" si="186"/>
        <v/>
      </c>
      <c r="FU58" s="275" t="str">
        <f t="shared" ca="1" si="187"/>
        <v/>
      </c>
      <c r="FV58" s="323" t="str">
        <f t="shared" ca="1" si="165"/>
        <v/>
      </c>
      <c r="FW58" s="276" t="str">
        <f t="shared" ca="1" si="188"/>
        <v/>
      </c>
      <c r="FX58" s="276" t="str">
        <f t="shared" ca="1" si="189"/>
        <v/>
      </c>
      <c r="FY58" s="276" t="str">
        <f t="shared" ca="1" si="190"/>
        <v/>
      </c>
      <c r="FZ58" s="276" t="str">
        <f t="shared" ca="1" si="191"/>
        <v/>
      </c>
      <c r="GA58" s="276" t="str">
        <f t="shared" ca="1" si="192"/>
        <v/>
      </c>
      <c r="GB58" s="277" t="str">
        <f ca="1">IF(FY58="","",2+SUM(FO58:OFFSET(FO58,(FU58-1)*-1,0)))</f>
        <v/>
      </c>
      <c r="GC58" s="316" t="e">
        <f t="shared" si="193"/>
        <v>#N/A</v>
      </c>
      <c r="GD58" s="324" t="str">
        <f t="shared" si="166"/>
        <v/>
      </c>
      <c r="GE58" s="325" t="str">
        <f t="shared" si="167"/>
        <v/>
      </c>
      <c r="GF58" s="278" t="str">
        <f t="shared" si="168"/>
        <v/>
      </c>
      <c r="GG58" s="279" t="str">
        <f t="shared" si="169"/>
        <v/>
      </c>
      <c r="GH58" s="279" t="str">
        <f t="shared" si="170"/>
        <v/>
      </c>
      <c r="GI58" s="280" t="str">
        <f t="shared" si="171"/>
        <v/>
      </c>
      <c r="GJ58" s="530">
        <f t="shared" ca="1" si="172"/>
        <v>0</v>
      </c>
      <c r="GK58" s="895" t="str">
        <f t="shared" ca="1" si="194"/>
        <v/>
      </c>
    </row>
    <row r="59" spans="1:193" ht="12.6" hidden="1" customHeight="1" x14ac:dyDescent="0.2">
      <c r="BZ59" s="293"/>
      <c r="CA59" s="293"/>
      <c r="CB59" s="365" t="str">
        <f t="shared" si="100"/>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1"/>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2"/>
        <v>0</v>
      </c>
      <c r="CU59" s="1316">
        <f t="shared" si="103"/>
        <v>0</v>
      </c>
      <c r="CV59" s="1310" t="str">
        <f t="shared" si="104"/>
        <v/>
      </c>
      <c r="CW59" s="1310" t="str">
        <f t="shared" si="105"/>
        <v/>
      </c>
      <c r="CX59" s="1310" t="str">
        <f t="shared" si="106"/>
        <v/>
      </c>
      <c r="CY59" s="1312">
        <f t="shared" si="107"/>
        <v>0</v>
      </c>
      <c r="CZ59" s="1312">
        <f t="shared" si="108"/>
        <v>0</v>
      </c>
      <c r="DA59" s="1312" t="str">
        <f t="shared" si="109"/>
        <v/>
      </c>
      <c r="DB59" s="1310" t="str">
        <f t="shared" si="173"/>
        <v/>
      </c>
      <c r="DC59" s="1310" t="str">
        <f t="shared" si="110"/>
        <v/>
      </c>
      <c r="DD59" s="875">
        <f t="shared" si="174"/>
        <v>0</v>
      </c>
      <c r="DE59" s="873">
        <f t="shared" si="111"/>
        <v>0</v>
      </c>
      <c r="DF59" s="874">
        <f t="shared" si="112"/>
        <v>0</v>
      </c>
      <c r="DG59" s="874" t="str">
        <f t="shared" si="113"/>
        <v/>
      </c>
      <c r="DH59" s="1310" t="str">
        <f t="shared" si="175"/>
        <v/>
      </c>
      <c r="DI59" s="1310" t="str">
        <f t="shared" si="114"/>
        <v/>
      </c>
      <c r="DJ59" s="1311">
        <f t="shared" si="176"/>
        <v>0</v>
      </c>
      <c r="DK59" s="1310" t="str">
        <f t="shared" si="115"/>
        <v/>
      </c>
      <c r="DL59" s="1310" t="str">
        <f t="shared" si="116"/>
        <v/>
      </c>
      <c r="DM59" s="1310" t="str">
        <f t="shared" si="117"/>
        <v/>
      </c>
      <c r="DN59" s="1310" t="str">
        <f t="shared" si="118"/>
        <v/>
      </c>
      <c r="DO59" s="889" t="str">
        <f t="shared" si="119"/>
        <v>ERR</v>
      </c>
      <c r="DP59" s="889" t="str">
        <f t="shared" si="120"/>
        <v>ERR</v>
      </c>
      <c r="DQ59" s="1310" t="str">
        <f t="shared" si="121"/>
        <v/>
      </c>
      <c r="DR59" s="1310" t="str">
        <f t="shared" si="121"/>
        <v/>
      </c>
      <c r="DS59" s="1310" t="str">
        <f t="shared" si="122"/>
        <v/>
      </c>
      <c r="DT59" s="1310" t="str">
        <f t="shared" si="123"/>
        <v/>
      </c>
      <c r="DU59" s="1310" t="str">
        <f t="shared" si="124"/>
        <v/>
      </c>
      <c r="DV59" s="889" t="str">
        <f t="shared" si="125"/>
        <v>ERR</v>
      </c>
      <c r="DW59" s="889" t="str">
        <f t="shared" si="126"/>
        <v>ERR</v>
      </c>
      <c r="DX59" s="873" t="str">
        <f t="shared" si="127"/>
        <v/>
      </c>
      <c r="DY59" s="873" t="str">
        <f t="shared" si="127"/>
        <v/>
      </c>
      <c r="DZ59" s="873" t="str">
        <f t="shared" si="128"/>
        <v/>
      </c>
      <c r="EA59" s="873" t="str">
        <f t="shared" si="129"/>
        <v/>
      </c>
      <c r="EB59" s="876" t="str">
        <f t="shared" si="130"/>
        <v/>
      </c>
      <c r="EC59" s="877" t="str">
        <f t="shared" si="131"/>
        <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t="str">
        <f t="shared" si="143"/>
        <v/>
      </c>
      <c r="EP59" s="874">
        <f t="shared" si="144"/>
        <v>0</v>
      </c>
      <c r="EQ59" s="874">
        <f t="shared" si="145"/>
        <v>0</v>
      </c>
      <c r="ER59" s="874">
        <f t="shared" si="146"/>
        <v>0</v>
      </c>
      <c r="ES59" s="874" t="str">
        <f t="shared" si="147"/>
        <v/>
      </c>
      <c r="ET59" s="873" t="str">
        <f t="shared" si="148"/>
        <v/>
      </c>
      <c r="EU59" s="873">
        <f t="shared" si="149"/>
        <v>0</v>
      </c>
      <c r="EV59" s="876" t="e">
        <f t="shared" si="150"/>
        <v>#VALUE!</v>
      </c>
      <c r="EW59" s="876" t="e">
        <f t="shared" si="151"/>
        <v>#VALUE!</v>
      </c>
      <c r="EX59" s="878" t="str">
        <f t="shared" si="152"/>
        <v/>
      </c>
      <c r="EY59" s="879" t="e">
        <f t="shared" si="153"/>
        <v>#VALUE!</v>
      </c>
      <c r="EZ59" s="959" t="e">
        <f t="shared" si="154"/>
        <v>#VALUE!</v>
      </c>
      <c r="FA59" s="960" t="e">
        <f t="shared" si="155"/>
        <v>#VALUE!</v>
      </c>
      <c r="FB59" s="880" t="str">
        <f t="shared" si="156"/>
        <v/>
      </c>
      <c r="FC59" s="881" t="str">
        <f t="shared" si="157"/>
        <v/>
      </c>
      <c r="FD59" s="890">
        <f t="shared" si="158"/>
        <v>0</v>
      </c>
      <c r="FE59" s="833">
        <f t="shared" si="159"/>
        <v>0</v>
      </c>
      <c r="FF59" s="754" t="b">
        <f t="shared" si="160"/>
        <v>0</v>
      </c>
      <c r="FG59" s="754" t="b">
        <f t="shared" si="161"/>
        <v>0</v>
      </c>
      <c r="FH59" s="754" t="b">
        <f t="shared" si="162"/>
        <v>0</v>
      </c>
      <c r="FI59" s="754" t="b">
        <f t="shared" si="163"/>
        <v>0</v>
      </c>
      <c r="FJ59" s="920" t="str">
        <f t="shared" si="177"/>
        <v/>
      </c>
      <c r="FK59" s="919" t="str">
        <f t="shared" si="178"/>
        <v/>
      </c>
      <c r="FL59" s="320" t="e">
        <f t="shared" si="179"/>
        <v>#N/A</v>
      </c>
      <c r="FM59" s="312" t="str">
        <f t="shared" si="164"/>
        <v/>
      </c>
      <c r="FN59" s="272" t="str">
        <f t="shared" ca="1" si="180"/>
        <v/>
      </c>
      <c r="FO59" s="273" t="str">
        <f t="shared" ca="1" si="181"/>
        <v/>
      </c>
      <c r="FP59" s="274" t="str">
        <f t="shared" ca="1" si="182"/>
        <v/>
      </c>
      <c r="FQ59" s="274" t="str">
        <f t="shared" ca="1" si="183"/>
        <v/>
      </c>
      <c r="FR59" s="321">
        <f t="shared" ca="1" si="184"/>
        <v>0</v>
      </c>
      <c r="FS59" s="322">
        <f t="shared" ca="1" si="185"/>
        <v>0</v>
      </c>
      <c r="FT59" s="272" t="str">
        <f t="shared" ca="1" si="186"/>
        <v/>
      </c>
      <c r="FU59" s="275" t="str">
        <f t="shared" ca="1" si="187"/>
        <v/>
      </c>
      <c r="FV59" s="323" t="str">
        <f t="shared" ca="1" si="165"/>
        <v/>
      </c>
      <c r="FW59" s="276" t="str">
        <f t="shared" ca="1" si="188"/>
        <v/>
      </c>
      <c r="FX59" s="276" t="str">
        <f t="shared" ca="1" si="189"/>
        <v/>
      </c>
      <c r="FY59" s="276" t="str">
        <f t="shared" ca="1" si="190"/>
        <v/>
      </c>
      <c r="FZ59" s="276" t="str">
        <f t="shared" ca="1" si="191"/>
        <v/>
      </c>
      <c r="GA59" s="276" t="str">
        <f t="shared" ca="1" si="192"/>
        <v/>
      </c>
      <c r="GB59" s="277" t="str">
        <f ca="1">IF(FY59="","",2+SUM(FO59:OFFSET(FO59,(FU59-1)*-1,0)))</f>
        <v/>
      </c>
      <c r="GC59" s="316" t="e">
        <f t="shared" si="193"/>
        <v>#N/A</v>
      </c>
      <c r="GD59" s="324" t="str">
        <f t="shared" si="166"/>
        <v/>
      </c>
      <c r="GE59" s="325" t="str">
        <f t="shared" si="167"/>
        <v/>
      </c>
      <c r="GF59" s="278" t="str">
        <f t="shared" si="168"/>
        <v/>
      </c>
      <c r="GG59" s="279" t="str">
        <f t="shared" si="169"/>
        <v/>
      </c>
      <c r="GH59" s="279" t="str">
        <f t="shared" si="170"/>
        <v/>
      </c>
      <c r="GI59" s="280" t="str">
        <f t="shared" si="171"/>
        <v/>
      </c>
      <c r="GJ59" s="530">
        <f t="shared" ca="1" si="172"/>
        <v>0</v>
      </c>
      <c r="GK59" s="895" t="str">
        <f t="shared" ca="1" si="194"/>
        <v/>
      </c>
    </row>
    <row r="60" spans="1:193" ht="12.6" hidden="1" customHeight="1" x14ac:dyDescent="0.2">
      <c r="A60" s="892" t="s">
        <v>1177</v>
      </c>
      <c r="BZ60" s="293"/>
      <c r="CA60" s="293"/>
      <c r="CB60" s="365" t="str">
        <f t="shared" si="100"/>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1"/>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2"/>
        <v>0</v>
      </c>
      <c r="CU60" s="1316">
        <f t="shared" si="103"/>
        <v>0</v>
      </c>
      <c r="CV60" s="1310" t="str">
        <f t="shared" si="104"/>
        <v/>
      </c>
      <c r="CW60" s="1310" t="str">
        <f t="shared" si="105"/>
        <v/>
      </c>
      <c r="CX60" s="1310" t="str">
        <f t="shared" si="106"/>
        <v/>
      </c>
      <c r="CY60" s="1312">
        <f t="shared" si="107"/>
        <v>0</v>
      </c>
      <c r="CZ60" s="1312">
        <f t="shared" si="108"/>
        <v>0</v>
      </c>
      <c r="DA60" s="1312" t="str">
        <f t="shared" si="109"/>
        <v/>
      </c>
      <c r="DB60" s="1310" t="str">
        <f t="shared" si="173"/>
        <v/>
      </c>
      <c r="DC60" s="1310" t="str">
        <f t="shared" si="110"/>
        <v/>
      </c>
      <c r="DD60" s="875">
        <f t="shared" si="174"/>
        <v>0</v>
      </c>
      <c r="DE60" s="873">
        <f t="shared" si="111"/>
        <v>0</v>
      </c>
      <c r="DF60" s="874">
        <f t="shared" si="112"/>
        <v>0</v>
      </c>
      <c r="DG60" s="874" t="str">
        <f t="shared" si="113"/>
        <v/>
      </c>
      <c r="DH60" s="1310" t="str">
        <f t="shared" si="175"/>
        <v/>
      </c>
      <c r="DI60" s="1310" t="str">
        <f t="shared" si="114"/>
        <v/>
      </c>
      <c r="DJ60" s="1311">
        <f t="shared" si="176"/>
        <v>0</v>
      </c>
      <c r="DK60" s="1310" t="str">
        <f t="shared" si="115"/>
        <v/>
      </c>
      <c r="DL60" s="1310" t="str">
        <f t="shared" si="116"/>
        <v/>
      </c>
      <c r="DM60" s="1310" t="str">
        <f t="shared" si="117"/>
        <v/>
      </c>
      <c r="DN60" s="1310" t="str">
        <f t="shared" si="118"/>
        <v/>
      </c>
      <c r="DO60" s="889" t="str">
        <f t="shared" si="119"/>
        <v>ERR</v>
      </c>
      <c r="DP60" s="889" t="str">
        <f t="shared" si="120"/>
        <v>ERR</v>
      </c>
      <c r="DQ60" s="1310" t="str">
        <f t="shared" si="121"/>
        <v/>
      </c>
      <c r="DR60" s="1310" t="str">
        <f t="shared" si="121"/>
        <v/>
      </c>
      <c r="DS60" s="1310" t="str">
        <f t="shared" si="122"/>
        <v/>
      </c>
      <c r="DT60" s="1310" t="str">
        <f t="shared" si="123"/>
        <v/>
      </c>
      <c r="DU60" s="1310" t="str">
        <f t="shared" si="124"/>
        <v/>
      </c>
      <c r="DV60" s="889" t="str">
        <f t="shared" si="125"/>
        <v>ERR</v>
      </c>
      <c r="DW60" s="889" t="str">
        <f t="shared" si="126"/>
        <v>ERR</v>
      </c>
      <c r="DX60" s="873" t="str">
        <f t="shared" si="127"/>
        <v/>
      </c>
      <c r="DY60" s="873" t="str">
        <f t="shared" si="127"/>
        <v/>
      </c>
      <c r="DZ60" s="873" t="str">
        <f t="shared" si="128"/>
        <v/>
      </c>
      <c r="EA60" s="873" t="str">
        <f t="shared" si="129"/>
        <v/>
      </c>
      <c r="EB60" s="876" t="str">
        <f t="shared" si="130"/>
        <v/>
      </c>
      <c r="EC60" s="877" t="str">
        <f t="shared" si="131"/>
        <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t="str">
        <f t="shared" si="143"/>
        <v/>
      </c>
      <c r="EP60" s="874">
        <f t="shared" si="144"/>
        <v>0</v>
      </c>
      <c r="EQ60" s="874">
        <f t="shared" si="145"/>
        <v>0</v>
      </c>
      <c r="ER60" s="874">
        <f t="shared" si="146"/>
        <v>0</v>
      </c>
      <c r="ES60" s="874" t="str">
        <f t="shared" si="147"/>
        <v/>
      </c>
      <c r="ET60" s="873" t="str">
        <f t="shared" si="148"/>
        <v/>
      </c>
      <c r="EU60" s="873">
        <f t="shared" si="149"/>
        <v>0</v>
      </c>
      <c r="EV60" s="876" t="e">
        <f t="shared" si="150"/>
        <v>#VALUE!</v>
      </c>
      <c r="EW60" s="876" t="e">
        <f t="shared" si="151"/>
        <v>#VALUE!</v>
      </c>
      <c r="EX60" s="878" t="str">
        <f t="shared" si="152"/>
        <v/>
      </c>
      <c r="EY60" s="879" t="e">
        <f t="shared" si="153"/>
        <v>#VALUE!</v>
      </c>
      <c r="EZ60" s="959" t="e">
        <f t="shared" si="154"/>
        <v>#VALUE!</v>
      </c>
      <c r="FA60" s="960" t="e">
        <f t="shared" si="155"/>
        <v>#VALUE!</v>
      </c>
      <c r="FB60" s="880" t="str">
        <f t="shared" si="156"/>
        <v/>
      </c>
      <c r="FC60" s="881" t="str">
        <f t="shared" si="157"/>
        <v/>
      </c>
      <c r="FD60" s="890">
        <f t="shared" si="158"/>
        <v>0</v>
      </c>
      <c r="FE60" s="833">
        <f t="shared" si="159"/>
        <v>0</v>
      </c>
      <c r="FF60" s="754" t="b">
        <f t="shared" si="160"/>
        <v>0</v>
      </c>
      <c r="FG60" s="754" t="b">
        <f t="shared" si="161"/>
        <v>0</v>
      </c>
      <c r="FH60" s="754" t="b">
        <f t="shared" si="162"/>
        <v>0</v>
      </c>
      <c r="FI60" s="754" t="b">
        <f t="shared" si="163"/>
        <v>0</v>
      </c>
      <c r="FJ60" s="920" t="str">
        <f t="shared" si="177"/>
        <v/>
      </c>
      <c r="FK60" s="919" t="str">
        <f t="shared" si="178"/>
        <v/>
      </c>
      <c r="FL60" s="320" t="e">
        <f t="shared" si="179"/>
        <v>#N/A</v>
      </c>
      <c r="FM60" s="312" t="str">
        <f t="shared" si="164"/>
        <v/>
      </c>
      <c r="FN60" s="272" t="str">
        <f t="shared" ca="1" si="180"/>
        <v/>
      </c>
      <c r="FO60" s="273" t="str">
        <f t="shared" ca="1" si="181"/>
        <v/>
      </c>
      <c r="FP60" s="274" t="str">
        <f t="shared" ca="1" si="182"/>
        <v/>
      </c>
      <c r="FQ60" s="274" t="str">
        <f t="shared" ca="1" si="183"/>
        <v/>
      </c>
      <c r="FR60" s="321">
        <f t="shared" ca="1" si="184"/>
        <v>0</v>
      </c>
      <c r="FS60" s="322">
        <f t="shared" ca="1" si="185"/>
        <v>0</v>
      </c>
      <c r="FT60" s="272" t="str">
        <f t="shared" ca="1" si="186"/>
        <v/>
      </c>
      <c r="FU60" s="275" t="str">
        <f t="shared" ca="1" si="187"/>
        <v/>
      </c>
      <c r="FV60" s="323" t="str">
        <f t="shared" ca="1" si="165"/>
        <v/>
      </c>
      <c r="FW60" s="276" t="str">
        <f t="shared" ca="1" si="188"/>
        <v/>
      </c>
      <c r="FX60" s="276" t="str">
        <f t="shared" ca="1" si="189"/>
        <v/>
      </c>
      <c r="FY60" s="276" t="str">
        <f t="shared" ca="1" si="190"/>
        <v/>
      </c>
      <c r="FZ60" s="276" t="str">
        <f t="shared" ca="1" si="191"/>
        <v/>
      </c>
      <c r="GA60" s="276" t="str">
        <f t="shared" ca="1" si="192"/>
        <v/>
      </c>
      <c r="GB60" s="277" t="str">
        <f ca="1">IF(FY60="","",2+SUM(FO60:OFFSET(FO60,(FU60-1)*-1,0)))</f>
        <v/>
      </c>
      <c r="GC60" s="316" t="e">
        <f t="shared" si="193"/>
        <v>#N/A</v>
      </c>
      <c r="GD60" s="324" t="str">
        <f t="shared" si="166"/>
        <v/>
      </c>
      <c r="GE60" s="325" t="str">
        <f t="shared" si="167"/>
        <v/>
      </c>
      <c r="GF60" s="278" t="str">
        <f t="shared" si="168"/>
        <v/>
      </c>
      <c r="GG60" s="279" t="str">
        <f t="shared" si="169"/>
        <v/>
      </c>
      <c r="GH60" s="279" t="str">
        <f t="shared" si="170"/>
        <v/>
      </c>
      <c r="GI60" s="280" t="str">
        <f t="shared" si="171"/>
        <v/>
      </c>
      <c r="GJ60" s="530">
        <f t="shared" ca="1" si="172"/>
        <v>0</v>
      </c>
      <c r="GK60" s="895" t="str">
        <f t="shared" ca="1" si="194"/>
        <v/>
      </c>
    </row>
    <row r="61" spans="1:193" ht="12.6" hidden="1" customHeight="1" x14ac:dyDescent="0.2">
      <c r="A61" s="894" t="s">
        <v>1631</v>
      </c>
      <c r="BZ61" s="293"/>
      <c r="CA61" s="293"/>
      <c r="CB61" s="365" t="str">
        <f t="shared" si="100"/>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1"/>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2"/>
        <v>0</v>
      </c>
      <c r="CU61" s="1316">
        <f t="shared" si="103"/>
        <v>0</v>
      </c>
      <c r="CV61" s="1310" t="str">
        <f t="shared" si="104"/>
        <v/>
      </c>
      <c r="CW61" s="1310" t="str">
        <f t="shared" si="105"/>
        <v/>
      </c>
      <c r="CX61" s="1310" t="str">
        <f t="shared" si="106"/>
        <v/>
      </c>
      <c r="CY61" s="1312">
        <f t="shared" si="107"/>
        <v>0</v>
      </c>
      <c r="CZ61" s="1312">
        <f t="shared" si="108"/>
        <v>0</v>
      </c>
      <c r="DA61" s="1312" t="str">
        <f t="shared" si="109"/>
        <v/>
      </c>
      <c r="DB61" s="1310" t="str">
        <f t="shared" si="173"/>
        <v/>
      </c>
      <c r="DC61" s="1310" t="str">
        <f t="shared" si="110"/>
        <v/>
      </c>
      <c r="DD61" s="875">
        <f t="shared" si="174"/>
        <v>0</v>
      </c>
      <c r="DE61" s="873">
        <f t="shared" si="111"/>
        <v>0</v>
      </c>
      <c r="DF61" s="874">
        <f t="shared" si="112"/>
        <v>0</v>
      </c>
      <c r="DG61" s="874" t="str">
        <f t="shared" si="113"/>
        <v/>
      </c>
      <c r="DH61" s="1310" t="str">
        <f t="shared" si="175"/>
        <v/>
      </c>
      <c r="DI61" s="1310" t="str">
        <f t="shared" si="114"/>
        <v/>
      </c>
      <c r="DJ61" s="1311">
        <f t="shared" si="176"/>
        <v>0</v>
      </c>
      <c r="DK61" s="1310" t="str">
        <f t="shared" si="115"/>
        <v/>
      </c>
      <c r="DL61" s="1310" t="str">
        <f t="shared" si="116"/>
        <v/>
      </c>
      <c r="DM61" s="1310" t="str">
        <f t="shared" si="117"/>
        <v/>
      </c>
      <c r="DN61" s="1310" t="str">
        <f t="shared" si="118"/>
        <v/>
      </c>
      <c r="DO61" s="889" t="str">
        <f t="shared" si="119"/>
        <v>ERR</v>
      </c>
      <c r="DP61" s="889" t="str">
        <f t="shared" si="120"/>
        <v>ERR</v>
      </c>
      <c r="DQ61" s="1310" t="str">
        <f t="shared" si="121"/>
        <v/>
      </c>
      <c r="DR61" s="1310" t="str">
        <f t="shared" si="121"/>
        <v/>
      </c>
      <c r="DS61" s="1310" t="str">
        <f t="shared" si="122"/>
        <v/>
      </c>
      <c r="DT61" s="1310" t="str">
        <f t="shared" si="123"/>
        <v/>
      </c>
      <c r="DU61" s="1310" t="str">
        <f t="shared" si="124"/>
        <v/>
      </c>
      <c r="DV61" s="889" t="str">
        <f t="shared" si="125"/>
        <v>ERR</v>
      </c>
      <c r="DW61" s="889" t="str">
        <f t="shared" si="126"/>
        <v>ERR</v>
      </c>
      <c r="DX61" s="873" t="str">
        <f t="shared" si="127"/>
        <v/>
      </c>
      <c r="DY61" s="873" t="str">
        <f t="shared" si="127"/>
        <v/>
      </c>
      <c r="DZ61" s="873" t="str">
        <f t="shared" si="128"/>
        <v/>
      </c>
      <c r="EA61" s="873" t="str">
        <f t="shared" si="129"/>
        <v/>
      </c>
      <c r="EB61" s="876" t="str">
        <f t="shared" si="130"/>
        <v/>
      </c>
      <c r="EC61" s="877" t="str">
        <f t="shared" si="131"/>
        <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t="str">
        <f t="shared" si="143"/>
        <v/>
      </c>
      <c r="EP61" s="874">
        <f t="shared" si="144"/>
        <v>0</v>
      </c>
      <c r="EQ61" s="874">
        <f t="shared" si="145"/>
        <v>0</v>
      </c>
      <c r="ER61" s="874">
        <f t="shared" si="146"/>
        <v>0</v>
      </c>
      <c r="ES61" s="874" t="str">
        <f t="shared" si="147"/>
        <v/>
      </c>
      <c r="ET61" s="873" t="str">
        <f t="shared" si="148"/>
        <v/>
      </c>
      <c r="EU61" s="873">
        <f t="shared" si="149"/>
        <v>0</v>
      </c>
      <c r="EV61" s="876" t="e">
        <f t="shared" si="150"/>
        <v>#VALUE!</v>
      </c>
      <c r="EW61" s="876" t="e">
        <f t="shared" si="151"/>
        <v>#VALUE!</v>
      </c>
      <c r="EX61" s="878" t="str">
        <f t="shared" si="152"/>
        <v/>
      </c>
      <c r="EY61" s="879" t="e">
        <f t="shared" si="153"/>
        <v>#VALUE!</v>
      </c>
      <c r="EZ61" s="959" t="e">
        <f t="shared" si="154"/>
        <v>#VALUE!</v>
      </c>
      <c r="FA61" s="960" t="e">
        <f t="shared" si="155"/>
        <v>#VALUE!</v>
      </c>
      <c r="FB61" s="880" t="str">
        <f t="shared" si="156"/>
        <v/>
      </c>
      <c r="FC61" s="881" t="str">
        <f t="shared" si="157"/>
        <v/>
      </c>
      <c r="FD61" s="890">
        <f t="shared" si="158"/>
        <v>0</v>
      </c>
      <c r="FE61" s="833">
        <f t="shared" si="159"/>
        <v>0</v>
      </c>
      <c r="FF61" s="754" t="b">
        <f t="shared" si="160"/>
        <v>0</v>
      </c>
      <c r="FG61" s="754" t="b">
        <f t="shared" si="161"/>
        <v>0</v>
      </c>
      <c r="FH61" s="754" t="b">
        <f t="shared" si="162"/>
        <v>0</v>
      </c>
      <c r="FI61" s="754" t="b">
        <f t="shared" si="163"/>
        <v>0</v>
      </c>
      <c r="FJ61" s="920" t="str">
        <f t="shared" si="177"/>
        <v/>
      </c>
      <c r="FK61" s="919" t="str">
        <f t="shared" si="178"/>
        <v/>
      </c>
      <c r="FL61" s="320" t="e">
        <f t="shared" si="179"/>
        <v>#N/A</v>
      </c>
      <c r="FM61" s="312" t="str">
        <f t="shared" si="164"/>
        <v/>
      </c>
      <c r="FN61" s="272" t="str">
        <f t="shared" ca="1" si="180"/>
        <v/>
      </c>
      <c r="FO61" s="273" t="str">
        <f t="shared" ca="1" si="181"/>
        <v/>
      </c>
      <c r="FP61" s="274" t="str">
        <f t="shared" ca="1" si="182"/>
        <v/>
      </c>
      <c r="FQ61" s="274" t="str">
        <f t="shared" ca="1" si="183"/>
        <v/>
      </c>
      <c r="FR61" s="321">
        <f t="shared" ca="1" si="184"/>
        <v>0</v>
      </c>
      <c r="FS61" s="322">
        <f t="shared" ca="1" si="185"/>
        <v>0</v>
      </c>
      <c r="FT61" s="272" t="str">
        <f t="shared" ca="1" si="186"/>
        <v/>
      </c>
      <c r="FU61" s="275" t="str">
        <f t="shared" ca="1" si="187"/>
        <v/>
      </c>
      <c r="FV61" s="323" t="str">
        <f t="shared" ca="1" si="165"/>
        <v/>
      </c>
      <c r="FW61" s="276" t="str">
        <f t="shared" ca="1" si="188"/>
        <v/>
      </c>
      <c r="FX61" s="276" t="str">
        <f t="shared" ca="1" si="189"/>
        <v/>
      </c>
      <c r="FY61" s="276" t="str">
        <f t="shared" ca="1" si="190"/>
        <v/>
      </c>
      <c r="FZ61" s="276" t="str">
        <f t="shared" ca="1" si="191"/>
        <v/>
      </c>
      <c r="GA61" s="276" t="str">
        <f t="shared" ca="1" si="192"/>
        <v/>
      </c>
      <c r="GB61" s="277" t="str">
        <f ca="1">IF(FY61="","",2+SUM(FO61:OFFSET(FO61,(FU61-1)*-1,0)))</f>
        <v/>
      </c>
      <c r="GC61" s="316" t="e">
        <f t="shared" si="193"/>
        <v>#N/A</v>
      </c>
      <c r="GD61" s="324" t="str">
        <f t="shared" si="166"/>
        <v/>
      </c>
      <c r="GE61" s="325" t="str">
        <f t="shared" si="167"/>
        <v/>
      </c>
      <c r="GF61" s="278" t="str">
        <f t="shared" si="168"/>
        <v/>
      </c>
      <c r="GG61" s="279" t="str">
        <f t="shared" si="169"/>
        <v/>
      </c>
      <c r="GH61" s="279" t="str">
        <f t="shared" si="170"/>
        <v/>
      </c>
      <c r="GI61" s="280" t="str">
        <f t="shared" si="171"/>
        <v/>
      </c>
      <c r="GJ61" s="530">
        <f t="shared" ca="1" si="172"/>
        <v>0</v>
      </c>
      <c r="GK61" s="895" t="str">
        <f t="shared" ca="1" si="194"/>
        <v/>
      </c>
    </row>
    <row r="62" spans="1:193" ht="12.6" hidden="1" customHeight="1" x14ac:dyDescent="0.2">
      <c r="BZ62" s="293"/>
      <c r="CA62" s="293"/>
      <c r="CB62" s="365" t="str">
        <f t="shared" si="100"/>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1"/>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2"/>
        <v>0</v>
      </c>
      <c r="CU62" s="1316">
        <f t="shared" si="103"/>
        <v>0</v>
      </c>
      <c r="CV62" s="1310" t="str">
        <f t="shared" si="104"/>
        <v/>
      </c>
      <c r="CW62" s="1310" t="str">
        <f t="shared" si="105"/>
        <v/>
      </c>
      <c r="CX62" s="1310" t="str">
        <f t="shared" si="106"/>
        <v/>
      </c>
      <c r="CY62" s="1312">
        <f t="shared" si="107"/>
        <v>0</v>
      </c>
      <c r="CZ62" s="1312">
        <f t="shared" si="108"/>
        <v>0</v>
      </c>
      <c r="DA62" s="1312" t="str">
        <f t="shared" si="109"/>
        <v/>
      </c>
      <c r="DB62" s="1310" t="str">
        <f t="shared" si="173"/>
        <v/>
      </c>
      <c r="DC62" s="1310" t="str">
        <f t="shared" si="110"/>
        <v/>
      </c>
      <c r="DD62" s="875">
        <f t="shared" si="174"/>
        <v>0</v>
      </c>
      <c r="DE62" s="873">
        <f t="shared" si="111"/>
        <v>0</v>
      </c>
      <c r="DF62" s="874">
        <f t="shared" si="112"/>
        <v>0</v>
      </c>
      <c r="DG62" s="874" t="str">
        <f t="shared" si="113"/>
        <v/>
      </c>
      <c r="DH62" s="1310" t="str">
        <f t="shared" si="175"/>
        <v/>
      </c>
      <c r="DI62" s="1310" t="str">
        <f t="shared" si="114"/>
        <v/>
      </c>
      <c r="DJ62" s="1311">
        <f t="shared" si="176"/>
        <v>0</v>
      </c>
      <c r="DK62" s="1310" t="str">
        <f t="shared" si="115"/>
        <v/>
      </c>
      <c r="DL62" s="1310" t="str">
        <f t="shared" si="116"/>
        <v/>
      </c>
      <c r="DM62" s="1310" t="str">
        <f t="shared" si="117"/>
        <v/>
      </c>
      <c r="DN62" s="1310" t="str">
        <f t="shared" si="118"/>
        <v/>
      </c>
      <c r="DO62" s="889" t="str">
        <f t="shared" si="119"/>
        <v>ERR</v>
      </c>
      <c r="DP62" s="889" t="str">
        <f t="shared" si="120"/>
        <v>ERR</v>
      </c>
      <c r="DQ62" s="1310" t="str">
        <f t="shared" si="121"/>
        <v/>
      </c>
      <c r="DR62" s="1310" t="str">
        <f t="shared" si="121"/>
        <v/>
      </c>
      <c r="DS62" s="1310" t="str">
        <f t="shared" si="122"/>
        <v/>
      </c>
      <c r="DT62" s="1310" t="str">
        <f t="shared" si="123"/>
        <v/>
      </c>
      <c r="DU62" s="1310" t="str">
        <f t="shared" si="124"/>
        <v/>
      </c>
      <c r="DV62" s="889" t="str">
        <f t="shared" si="125"/>
        <v>ERR</v>
      </c>
      <c r="DW62" s="889" t="str">
        <f t="shared" si="126"/>
        <v>ERR</v>
      </c>
      <c r="DX62" s="873" t="str">
        <f t="shared" si="127"/>
        <v/>
      </c>
      <c r="DY62" s="873" t="str">
        <f t="shared" si="127"/>
        <v/>
      </c>
      <c r="DZ62" s="873" t="str">
        <f t="shared" si="128"/>
        <v/>
      </c>
      <c r="EA62" s="873" t="str">
        <f t="shared" si="129"/>
        <v/>
      </c>
      <c r="EB62" s="876" t="str">
        <f t="shared" si="130"/>
        <v/>
      </c>
      <c r="EC62" s="877" t="str">
        <f t="shared" si="131"/>
        <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t="str">
        <f t="shared" si="143"/>
        <v/>
      </c>
      <c r="EP62" s="874">
        <f t="shared" si="144"/>
        <v>0</v>
      </c>
      <c r="EQ62" s="874">
        <f t="shared" si="145"/>
        <v>0</v>
      </c>
      <c r="ER62" s="874">
        <f t="shared" si="146"/>
        <v>0</v>
      </c>
      <c r="ES62" s="874" t="str">
        <f t="shared" si="147"/>
        <v/>
      </c>
      <c r="ET62" s="873" t="str">
        <f t="shared" si="148"/>
        <v/>
      </c>
      <c r="EU62" s="873">
        <f t="shared" si="149"/>
        <v>0</v>
      </c>
      <c r="EV62" s="876" t="e">
        <f t="shared" si="150"/>
        <v>#VALUE!</v>
      </c>
      <c r="EW62" s="876" t="e">
        <f t="shared" si="151"/>
        <v>#VALUE!</v>
      </c>
      <c r="EX62" s="878" t="str">
        <f t="shared" si="152"/>
        <v/>
      </c>
      <c r="EY62" s="879" t="e">
        <f t="shared" si="153"/>
        <v>#VALUE!</v>
      </c>
      <c r="EZ62" s="959" t="e">
        <f t="shared" si="154"/>
        <v>#VALUE!</v>
      </c>
      <c r="FA62" s="960" t="e">
        <f t="shared" si="155"/>
        <v>#VALUE!</v>
      </c>
      <c r="FB62" s="880" t="str">
        <f t="shared" si="156"/>
        <v/>
      </c>
      <c r="FC62" s="881" t="str">
        <f t="shared" si="157"/>
        <v/>
      </c>
      <c r="FD62" s="890">
        <f t="shared" si="158"/>
        <v>0</v>
      </c>
      <c r="FE62" s="833">
        <f t="shared" si="159"/>
        <v>0</v>
      </c>
      <c r="FF62" s="754" t="b">
        <f t="shared" si="160"/>
        <v>0</v>
      </c>
      <c r="FG62" s="754" t="b">
        <f t="shared" si="161"/>
        <v>0</v>
      </c>
      <c r="FH62" s="754" t="b">
        <f t="shared" si="162"/>
        <v>0</v>
      </c>
      <c r="FI62" s="754" t="b">
        <f t="shared" si="163"/>
        <v>0</v>
      </c>
      <c r="FJ62" s="920" t="str">
        <f t="shared" si="177"/>
        <v/>
      </c>
      <c r="FK62" s="919" t="str">
        <f t="shared" si="178"/>
        <v/>
      </c>
      <c r="FL62" s="320" t="e">
        <f t="shared" si="179"/>
        <v>#N/A</v>
      </c>
      <c r="FM62" s="312" t="str">
        <f t="shared" si="164"/>
        <v/>
      </c>
      <c r="FN62" s="272" t="str">
        <f t="shared" ca="1" si="180"/>
        <v/>
      </c>
      <c r="FO62" s="273" t="str">
        <f t="shared" ca="1" si="181"/>
        <v/>
      </c>
      <c r="FP62" s="274" t="str">
        <f t="shared" ca="1" si="182"/>
        <v/>
      </c>
      <c r="FQ62" s="274" t="str">
        <f t="shared" ca="1" si="183"/>
        <v/>
      </c>
      <c r="FR62" s="321">
        <f t="shared" ca="1" si="184"/>
        <v>0</v>
      </c>
      <c r="FS62" s="322">
        <f t="shared" ca="1" si="185"/>
        <v>0</v>
      </c>
      <c r="FT62" s="272" t="str">
        <f t="shared" ca="1" si="186"/>
        <v/>
      </c>
      <c r="FU62" s="275" t="str">
        <f t="shared" ca="1" si="187"/>
        <v/>
      </c>
      <c r="FV62" s="323" t="str">
        <f t="shared" ca="1" si="165"/>
        <v/>
      </c>
      <c r="FW62" s="276" t="str">
        <f t="shared" ca="1" si="188"/>
        <v/>
      </c>
      <c r="FX62" s="276" t="str">
        <f t="shared" ca="1" si="189"/>
        <v/>
      </c>
      <c r="FY62" s="276" t="str">
        <f t="shared" ca="1" si="190"/>
        <v/>
      </c>
      <c r="FZ62" s="276" t="str">
        <f t="shared" ca="1" si="191"/>
        <v/>
      </c>
      <c r="GA62" s="276" t="str">
        <f t="shared" ca="1" si="192"/>
        <v/>
      </c>
      <c r="GB62" s="277" t="str">
        <f ca="1">IF(FY62="","",2+SUM(FO62:OFFSET(FO62,(FU62-1)*-1,0)))</f>
        <v/>
      </c>
      <c r="GC62" s="316" t="e">
        <f t="shared" si="193"/>
        <v>#N/A</v>
      </c>
      <c r="GD62" s="324" t="str">
        <f t="shared" si="166"/>
        <v/>
      </c>
      <c r="GE62" s="325" t="str">
        <f t="shared" si="167"/>
        <v/>
      </c>
      <c r="GF62" s="278" t="str">
        <f t="shared" si="168"/>
        <v/>
      </c>
      <c r="GG62" s="279" t="str">
        <f t="shared" si="169"/>
        <v/>
      </c>
      <c r="GH62" s="279" t="str">
        <f t="shared" si="170"/>
        <v/>
      </c>
      <c r="GI62" s="280" t="str">
        <f t="shared" si="171"/>
        <v/>
      </c>
      <c r="GJ62" s="530">
        <f t="shared" ca="1" si="172"/>
        <v>0</v>
      </c>
      <c r="GK62" s="895" t="str">
        <f t="shared" ca="1" si="194"/>
        <v/>
      </c>
    </row>
    <row r="63" spans="1:193" ht="12.6" hidden="1" customHeight="1" x14ac:dyDescent="0.2">
      <c r="BZ63" s="293"/>
      <c r="CA63" s="293"/>
      <c r="CB63" s="365" t="str">
        <f t="shared" si="100"/>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1"/>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2"/>
        <v>0</v>
      </c>
      <c r="CU63" s="1316">
        <f t="shared" si="103"/>
        <v>0</v>
      </c>
      <c r="CV63" s="1310" t="str">
        <f t="shared" si="104"/>
        <v/>
      </c>
      <c r="CW63" s="1310" t="str">
        <f t="shared" si="105"/>
        <v/>
      </c>
      <c r="CX63" s="1310" t="str">
        <f t="shared" si="106"/>
        <v/>
      </c>
      <c r="CY63" s="1312">
        <f t="shared" si="107"/>
        <v>0</v>
      </c>
      <c r="CZ63" s="1312">
        <f t="shared" si="108"/>
        <v>0</v>
      </c>
      <c r="DA63" s="1312" t="str">
        <f t="shared" si="109"/>
        <v/>
      </c>
      <c r="DB63" s="1310" t="str">
        <f t="shared" si="173"/>
        <v/>
      </c>
      <c r="DC63" s="1310" t="str">
        <f t="shared" si="110"/>
        <v/>
      </c>
      <c r="DD63" s="875">
        <f t="shared" si="174"/>
        <v>0</v>
      </c>
      <c r="DE63" s="873">
        <f t="shared" si="111"/>
        <v>0</v>
      </c>
      <c r="DF63" s="874">
        <f t="shared" si="112"/>
        <v>0</v>
      </c>
      <c r="DG63" s="874" t="str">
        <f t="shared" si="113"/>
        <v/>
      </c>
      <c r="DH63" s="1310" t="str">
        <f t="shared" si="175"/>
        <v/>
      </c>
      <c r="DI63" s="1310" t="str">
        <f t="shared" si="114"/>
        <v/>
      </c>
      <c r="DJ63" s="1311">
        <f t="shared" si="176"/>
        <v>0</v>
      </c>
      <c r="DK63" s="1310" t="str">
        <f t="shared" si="115"/>
        <v/>
      </c>
      <c r="DL63" s="1310" t="str">
        <f t="shared" si="116"/>
        <v/>
      </c>
      <c r="DM63" s="1310" t="str">
        <f t="shared" si="117"/>
        <v/>
      </c>
      <c r="DN63" s="1310" t="str">
        <f t="shared" si="118"/>
        <v/>
      </c>
      <c r="DO63" s="889" t="str">
        <f t="shared" si="119"/>
        <v>ERR</v>
      </c>
      <c r="DP63" s="889" t="str">
        <f t="shared" si="120"/>
        <v>ERR</v>
      </c>
      <c r="DQ63" s="1310" t="str">
        <f t="shared" si="121"/>
        <v/>
      </c>
      <c r="DR63" s="1310" t="str">
        <f t="shared" si="121"/>
        <v/>
      </c>
      <c r="DS63" s="1310" t="str">
        <f t="shared" si="122"/>
        <v/>
      </c>
      <c r="DT63" s="1310" t="str">
        <f t="shared" si="123"/>
        <v/>
      </c>
      <c r="DU63" s="1310" t="str">
        <f t="shared" si="124"/>
        <v/>
      </c>
      <c r="DV63" s="889" t="str">
        <f t="shared" si="125"/>
        <v>ERR</v>
      </c>
      <c r="DW63" s="889" t="str">
        <f t="shared" si="126"/>
        <v>ERR</v>
      </c>
      <c r="DX63" s="873" t="str">
        <f t="shared" si="127"/>
        <v/>
      </c>
      <c r="DY63" s="873" t="str">
        <f t="shared" si="127"/>
        <v/>
      </c>
      <c r="DZ63" s="873" t="str">
        <f t="shared" si="128"/>
        <v/>
      </c>
      <c r="EA63" s="873" t="str">
        <f t="shared" si="129"/>
        <v/>
      </c>
      <c r="EB63" s="876" t="str">
        <f t="shared" si="130"/>
        <v/>
      </c>
      <c r="EC63" s="877" t="str">
        <f t="shared" si="131"/>
        <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t="str">
        <f t="shared" si="143"/>
        <v/>
      </c>
      <c r="EP63" s="874">
        <f t="shared" si="144"/>
        <v>0</v>
      </c>
      <c r="EQ63" s="874">
        <f t="shared" si="145"/>
        <v>0</v>
      </c>
      <c r="ER63" s="874">
        <f t="shared" si="146"/>
        <v>0</v>
      </c>
      <c r="ES63" s="874" t="str">
        <f t="shared" si="147"/>
        <v/>
      </c>
      <c r="ET63" s="873" t="str">
        <f t="shared" si="148"/>
        <v/>
      </c>
      <c r="EU63" s="873">
        <f t="shared" si="149"/>
        <v>0</v>
      </c>
      <c r="EV63" s="876" t="e">
        <f t="shared" si="150"/>
        <v>#VALUE!</v>
      </c>
      <c r="EW63" s="876" t="e">
        <f t="shared" si="151"/>
        <v>#VALUE!</v>
      </c>
      <c r="EX63" s="878" t="str">
        <f t="shared" si="152"/>
        <v/>
      </c>
      <c r="EY63" s="879" t="e">
        <f t="shared" si="153"/>
        <v>#VALUE!</v>
      </c>
      <c r="EZ63" s="959" t="e">
        <f t="shared" si="154"/>
        <v>#VALUE!</v>
      </c>
      <c r="FA63" s="960" t="e">
        <f t="shared" si="155"/>
        <v>#VALUE!</v>
      </c>
      <c r="FB63" s="880" t="str">
        <f t="shared" si="156"/>
        <v/>
      </c>
      <c r="FC63" s="881" t="str">
        <f t="shared" si="157"/>
        <v/>
      </c>
      <c r="FD63" s="890">
        <f t="shared" si="158"/>
        <v>0</v>
      </c>
      <c r="FE63" s="833">
        <f t="shared" si="159"/>
        <v>0</v>
      </c>
      <c r="FF63" s="754" t="b">
        <f t="shared" si="160"/>
        <v>0</v>
      </c>
      <c r="FG63" s="754" t="b">
        <f t="shared" si="161"/>
        <v>0</v>
      </c>
      <c r="FH63" s="754" t="b">
        <f t="shared" si="162"/>
        <v>0</v>
      </c>
      <c r="FI63" s="754" t="b">
        <f t="shared" si="163"/>
        <v>0</v>
      </c>
      <c r="FJ63" s="920" t="str">
        <f t="shared" si="177"/>
        <v/>
      </c>
      <c r="FK63" s="919" t="str">
        <f t="shared" si="178"/>
        <v/>
      </c>
      <c r="FL63" s="320" t="e">
        <f t="shared" si="179"/>
        <v>#N/A</v>
      </c>
      <c r="FM63" s="312" t="str">
        <f t="shared" si="164"/>
        <v/>
      </c>
      <c r="FN63" s="272" t="str">
        <f t="shared" ca="1" si="180"/>
        <v/>
      </c>
      <c r="FO63" s="273" t="str">
        <f t="shared" ca="1" si="181"/>
        <v/>
      </c>
      <c r="FP63" s="274" t="str">
        <f t="shared" ca="1" si="182"/>
        <v/>
      </c>
      <c r="FQ63" s="274" t="str">
        <f t="shared" ca="1" si="183"/>
        <v/>
      </c>
      <c r="FR63" s="321">
        <f t="shared" ca="1" si="184"/>
        <v>0</v>
      </c>
      <c r="FS63" s="322">
        <f t="shared" ca="1" si="185"/>
        <v>0</v>
      </c>
      <c r="FT63" s="272" t="str">
        <f t="shared" ca="1" si="186"/>
        <v/>
      </c>
      <c r="FU63" s="275" t="str">
        <f t="shared" ca="1" si="187"/>
        <v/>
      </c>
      <c r="FV63" s="323" t="str">
        <f t="shared" ca="1" si="165"/>
        <v/>
      </c>
      <c r="FW63" s="276" t="str">
        <f t="shared" ca="1" si="188"/>
        <v/>
      </c>
      <c r="FX63" s="276" t="str">
        <f t="shared" ca="1" si="189"/>
        <v/>
      </c>
      <c r="FY63" s="276" t="str">
        <f t="shared" ca="1" si="190"/>
        <v/>
      </c>
      <c r="FZ63" s="276" t="str">
        <f t="shared" ca="1" si="191"/>
        <v/>
      </c>
      <c r="GA63" s="276" t="str">
        <f t="shared" ca="1" si="192"/>
        <v/>
      </c>
      <c r="GB63" s="277" t="str">
        <f ca="1">IF(FY63="","",2+SUM(FO63:OFFSET(FO63,(FU63-1)*-1,0)))</f>
        <v/>
      </c>
      <c r="GC63" s="316" t="e">
        <f t="shared" si="193"/>
        <v>#N/A</v>
      </c>
      <c r="GD63" s="324" t="str">
        <f t="shared" si="166"/>
        <v/>
      </c>
      <c r="GE63" s="325" t="str">
        <f t="shared" si="167"/>
        <v/>
      </c>
      <c r="GF63" s="278" t="str">
        <f t="shared" si="168"/>
        <v/>
      </c>
      <c r="GG63" s="279" t="str">
        <f t="shared" si="169"/>
        <v/>
      </c>
      <c r="GH63" s="279" t="str">
        <f t="shared" si="170"/>
        <v/>
      </c>
      <c r="GI63" s="280" t="str">
        <f t="shared" si="171"/>
        <v/>
      </c>
      <c r="GJ63" s="530">
        <f t="shared" ca="1" si="172"/>
        <v>0</v>
      </c>
      <c r="GK63" s="895" t="str">
        <f t="shared" ca="1" si="194"/>
        <v/>
      </c>
    </row>
    <row r="64" spans="1:193" ht="12.6" hidden="1" customHeight="1" x14ac:dyDescent="0.2">
      <c r="BZ64" s="293"/>
      <c r="CA64" s="293"/>
      <c r="CB64" s="365" t="str">
        <f t="shared" si="100"/>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1"/>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2"/>
        <v>0</v>
      </c>
      <c r="CU64" s="1316">
        <f t="shared" si="103"/>
        <v>0</v>
      </c>
      <c r="CV64" s="1310" t="str">
        <f t="shared" si="104"/>
        <v/>
      </c>
      <c r="CW64" s="1310" t="str">
        <f t="shared" si="105"/>
        <v/>
      </c>
      <c r="CX64" s="1310" t="str">
        <f t="shared" si="106"/>
        <v/>
      </c>
      <c r="CY64" s="1312">
        <f t="shared" si="107"/>
        <v>0</v>
      </c>
      <c r="CZ64" s="1312">
        <f t="shared" si="108"/>
        <v>0</v>
      </c>
      <c r="DA64" s="1312" t="str">
        <f t="shared" si="109"/>
        <v/>
      </c>
      <c r="DB64" s="1310" t="str">
        <f t="shared" si="173"/>
        <v/>
      </c>
      <c r="DC64" s="1310" t="str">
        <f t="shared" si="110"/>
        <v/>
      </c>
      <c r="DD64" s="875">
        <f t="shared" si="174"/>
        <v>0</v>
      </c>
      <c r="DE64" s="873">
        <f t="shared" si="111"/>
        <v>0</v>
      </c>
      <c r="DF64" s="874">
        <f t="shared" si="112"/>
        <v>0</v>
      </c>
      <c r="DG64" s="874" t="str">
        <f t="shared" si="113"/>
        <v/>
      </c>
      <c r="DH64" s="1310" t="str">
        <f t="shared" si="175"/>
        <v/>
      </c>
      <c r="DI64" s="1310" t="str">
        <f t="shared" si="114"/>
        <v/>
      </c>
      <c r="DJ64" s="1311">
        <f t="shared" si="176"/>
        <v>0</v>
      </c>
      <c r="DK64" s="1310" t="str">
        <f t="shared" si="115"/>
        <v/>
      </c>
      <c r="DL64" s="1310" t="str">
        <f t="shared" si="116"/>
        <v/>
      </c>
      <c r="DM64" s="1310" t="str">
        <f t="shared" si="117"/>
        <v/>
      </c>
      <c r="DN64" s="1310" t="str">
        <f t="shared" si="118"/>
        <v/>
      </c>
      <c r="DO64" s="889" t="str">
        <f t="shared" si="119"/>
        <v>ERR</v>
      </c>
      <c r="DP64" s="889" t="str">
        <f t="shared" si="120"/>
        <v>ERR</v>
      </c>
      <c r="DQ64" s="1310" t="str">
        <f t="shared" si="121"/>
        <v/>
      </c>
      <c r="DR64" s="1310" t="str">
        <f t="shared" si="121"/>
        <v/>
      </c>
      <c r="DS64" s="1310" t="str">
        <f t="shared" si="122"/>
        <v/>
      </c>
      <c r="DT64" s="1310" t="str">
        <f t="shared" si="123"/>
        <v/>
      </c>
      <c r="DU64" s="1310" t="str">
        <f t="shared" si="124"/>
        <v/>
      </c>
      <c r="DV64" s="889" t="str">
        <f t="shared" si="125"/>
        <v>ERR</v>
      </c>
      <c r="DW64" s="889" t="str">
        <f t="shared" si="126"/>
        <v>ERR</v>
      </c>
      <c r="DX64" s="873" t="str">
        <f t="shared" si="127"/>
        <v/>
      </c>
      <c r="DY64" s="873" t="str">
        <f t="shared" si="127"/>
        <v/>
      </c>
      <c r="DZ64" s="873" t="str">
        <f t="shared" si="128"/>
        <v/>
      </c>
      <c r="EA64" s="873" t="str">
        <f t="shared" si="129"/>
        <v/>
      </c>
      <c r="EB64" s="876" t="str">
        <f t="shared" si="130"/>
        <v/>
      </c>
      <c r="EC64" s="877" t="str">
        <f t="shared" si="131"/>
        <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t="str">
        <f t="shared" si="143"/>
        <v/>
      </c>
      <c r="EP64" s="874">
        <f t="shared" si="144"/>
        <v>0</v>
      </c>
      <c r="EQ64" s="874">
        <f t="shared" si="145"/>
        <v>0</v>
      </c>
      <c r="ER64" s="874">
        <f t="shared" si="146"/>
        <v>0</v>
      </c>
      <c r="ES64" s="874" t="str">
        <f t="shared" si="147"/>
        <v/>
      </c>
      <c r="ET64" s="873" t="str">
        <f t="shared" si="148"/>
        <v/>
      </c>
      <c r="EU64" s="873">
        <f t="shared" si="149"/>
        <v>0</v>
      </c>
      <c r="EV64" s="876" t="e">
        <f t="shared" si="150"/>
        <v>#VALUE!</v>
      </c>
      <c r="EW64" s="876" t="e">
        <f t="shared" si="151"/>
        <v>#VALUE!</v>
      </c>
      <c r="EX64" s="878" t="str">
        <f t="shared" si="152"/>
        <v/>
      </c>
      <c r="EY64" s="879" t="e">
        <f t="shared" si="153"/>
        <v>#VALUE!</v>
      </c>
      <c r="EZ64" s="959" t="e">
        <f t="shared" si="154"/>
        <v>#VALUE!</v>
      </c>
      <c r="FA64" s="960" t="e">
        <f t="shared" si="155"/>
        <v>#VALUE!</v>
      </c>
      <c r="FB64" s="880" t="str">
        <f t="shared" si="156"/>
        <v/>
      </c>
      <c r="FC64" s="881" t="str">
        <f t="shared" si="157"/>
        <v/>
      </c>
      <c r="FD64" s="890">
        <f t="shared" si="158"/>
        <v>0</v>
      </c>
      <c r="FE64" s="833">
        <f t="shared" si="159"/>
        <v>0</v>
      </c>
      <c r="FF64" s="754" t="b">
        <f t="shared" si="160"/>
        <v>0</v>
      </c>
      <c r="FG64" s="754" t="b">
        <f t="shared" si="161"/>
        <v>0</v>
      </c>
      <c r="FH64" s="754" t="b">
        <f t="shared" si="162"/>
        <v>0</v>
      </c>
      <c r="FI64" s="754" t="b">
        <f t="shared" si="163"/>
        <v>0</v>
      </c>
      <c r="FJ64" s="920" t="str">
        <f t="shared" si="177"/>
        <v/>
      </c>
      <c r="FK64" s="919" t="str">
        <f t="shared" si="178"/>
        <v/>
      </c>
      <c r="FL64" s="320" t="e">
        <f t="shared" si="179"/>
        <v>#N/A</v>
      </c>
      <c r="FM64" s="312" t="str">
        <f t="shared" si="164"/>
        <v/>
      </c>
      <c r="FN64" s="272" t="str">
        <f t="shared" ca="1" si="180"/>
        <v/>
      </c>
      <c r="FO64" s="273" t="str">
        <f t="shared" ca="1" si="181"/>
        <v/>
      </c>
      <c r="FP64" s="274" t="str">
        <f t="shared" ca="1" si="182"/>
        <v/>
      </c>
      <c r="FQ64" s="274" t="str">
        <f t="shared" ca="1" si="183"/>
        <v/>
      </c>
      <c r="FR64" s="321">
        <f t="shared" ca="1" si="184"/>
        <v>0</v>
      </c>
      <c r="FS64" s="322">
        <f t="shared" ca="1" si="185"/>
        <v>0</v>
      </c>
      <c r="FT64" s="272" t="str">
        <f t="shared" ca="1" si="186"/>
        <v/>
      </c>
      <c r="FU64" s="275" t="str">
        <f t="shared" ca="1" si="187"/>
        <v/>
      </c>
      <c r="FV64" s="323" t="str">
        <f t="shared" ca="1" si="165"/>
        <v/>
      </c>
      <c r="FW64" s="276" t="str">
        <f t="shared" ca="1" si="188"/>
        <v/>
      </c>
      <c r="FX64" s="276" t="str">
        <f t="shared" ca="1" si="189"/>
        <v/>
      </c>
      <c r="FY64" s="276" t="str">
        <f t="shared" ca="1" si="190"/>
        <v/>
      </c>
      <c r="FZ64" s="276" t="str">
        <f t="shared" ca="1" si="191"/>
        <v/>
      </c>
      <c r="GA64" s="276" t="str">
        <f t="shared" ca="1" si="192"/>
        <v/>
      </c>
      <c r="GB64" s="277" t="str">
        <f ca="1">IF(FY64="","",2+SUM(FO64:OFFSET(FO64,(FU64-1)*-1,0)))</f>
        <v/>
      </c>
      <c r="GC64" s="316" t="e">
        <f t="shared" si="193"/>
        <v>#N/A</v>
      </c>
      <c r="GD64" s="324" t="str">
        <f t="shared" si="166"/>
        <v/>
      </c>
      <c r="GE64" s="325" t="str">
        <f t="shared" si="167"/>
        <v/>
      </c>
      <c r="GF64" s="278" t="str">
        <f t="shared" si="168"/>
        <v/>
      </c>
      <c r="GG64" s="279" t="str">
        <f t="shared" si="169"/>
        <v/>
      </c>
      <c r="GH64" s="279" t="str">
        <f t="shared" si="170"/>
        <v/>
      </c>
      <c r="GI64" s="280" t="str">
        <f t="shared" si="171"/>
        <v/>
      </c>
      <c r="GJ64" s="530">
        <f t="shared" ca="1" si="172"/>
        <v>0</v>
      </c>
      <c r="GK64" s="895" t="str">
        <f t="shared" ca="1" si="194"/>
        <v/>
      </c>
    </row>
    <row r="65" spans="78:193" ht="12.6" hidden="1" customHeight="1" x14ac:dyDescent="0.2">
      <c r="BZ65" s="293"/>
      <c r="CA65" s="293"/>
      <c r="CB65" s="365" t="str">
        <f t="shared" si="100"/>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1"/>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2"/>
        <v>0</v>
      </c>
      <c r="CU65" s="1316">
        <f t="shared" si="103"/>
        <v>0</v>
      </c>
      <c r="CV65" s="1310" t="str">
        <f t="shared" si="104"/>
        <v/>
      </c>
      <c r="CW65" s="1310" t="str">
        <f t="shared" si="105"/>
        <v/>
      </c>
      <c r="CX65" s="1310" t="str">
        <f t="shared" si="106"/>
        <v/>
      </c>
      <c r="CY65" s="1312">
        <f t="shared" si="107"/>
        <v>0</v>
      </c>
      <c r="CZ65" s="1312">
        <f t="shared" si="108"/>
        <v>0</v>
      </c>
      <c r="DA65" s="1312" t="str">
        <f t="shared" si="109"/>
        <v/>
      </c>
      <c r="DB65" s="1310" t="str">
        <f t="shared" si="173"/>
        <v/>
      </c>
      <c r="DC65" s="1310" t="str">
        <f t="shared" si="110"/>
        <v/>
      </c>
      <c r="DD65" s="875">
        <f t="shared" si="174"/>
        <v>0</v>
      </c>
      <c r="DE65" s="873">
        <f t="shared" si="111"/>
        <v>0</v>
      </c>
      <c r="DF65" s="874">
        <f t="shared" si="112"/>
        <v>0</v>
      </c>
      <c r="DG65" s="874" t="str">
        <f t="shared" si="113"/>
        <v/>
      </c>
      <c r="DH65" s="1310" t="str">
        <f t="shared" si="175"/>
        <v/>
      </c>
      <c r="DI65" s="1310" t="str">
        <f t="shared" si="114"/>
        <v/>
      </c>
      <c r="DJ65" s="1311">
        <f t="shared" si="176"/>
        <v>0</v>
      </c>
      <c r="DK65" s="1310" t="str">
        <f t="shared" si="115"/>
        <v/>
      </c>
      <c r="DL65" s="1310" t="str">
        <f t="shared" si="116"/>
        <v/>
      </c>
      <c r="DM65" s="1310" t="str">
        <f t="shared" si="117"/>
        <v/>
      </c>
      <c r="DN65" s="1310" t="str">
        <f t="shared" si="118"/>
        <v/>
      </c>
      <c r="DO65" s="889" t="str">
        <f t="shared" si="119"/>
        <v>ERR</v>
      </c>
      <c r="DP65" s="889" t="str">
        <f t="shared" si="120"/>
        <v>ERR</v>
      </c>
      <c r="DQ65" s="1310" t="str">
        <f t="shared" si="121"/>
        <v/>
      </c>
      <c r="DR65" s="1310" t="str">
        <f t="shared" si="121"/>
        <v/>
      </c>
      <c r="DS65" s="1310" t="str">
        <f t="shared" si="122"/>
        <v/>
      </c>
      <c r="DT65" s="1310" t="str">
        <f t="shared" si="123"/>
        <v/>
      </c>
      <c r="DU65" s="1310" t="str">
        <f t="shared" si="124"/>
        <v/>
      </c>
      <c r="DV65" s="889" t="str">
        <f t="shared" si="125"/>
        <v>ERR</v>
      </c>
      <c r="DW65" s="889" t="str">
        <f t="shared" si="126"/>
        <v>ERR</v>
      </c>
      <c r="DX65" s="873" t="str">
        <f t="shared" si="127"/>
        <v/>
      </c>
      <c r="DY65" s="873" t="str">
        <f t="shared" si="127"/>
        <v/>
      </c>
      <c r="DZ65" s="873" t="str">
        <f t="shared" si="128"/>
        <v/>
      </c>
      <c r="EA65" s="873" t="str">
        <f t="shared" si="129"/>
        <v/>
      </c>
      <c r="EB65" s="876" t="str">
        <f t="shared" si="130"/>
        <v/>
      </c>
      <c r="EC65" s="877" t="str">
        <f t="shared" si="131"/>
        <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t="str">
        <f t="shared" si="143"/>
        <v/>
      </c>
      <c r="EP65" s="874">
        <f t="shared" si="144"/>
        <v>0</v>
      </c>
      <c r="EQ65" s="874">
        <f t="shared" si="145"/>
        <v>0</v>
      </c>
      <c r="ER65" s="874">
        <f t="shared" si="146"/>
        <v>0</v>
      </c>
      <c r="ES65" s="874" t="str">
        <f t="shared" si="147"/>
        <v/>
      </c>
      <c r="ET65" s="873" t="str">
        <f t="shared" si="148"/>
        <v/>
      </c>
      <c r="EU65" s="873">
        <f t="shared" si="149"/>
        <v>0</v>
      </c>
      <c r="EV65" s="876" t="e">
        <f t="shared" si="150"/>
        <v>#VALUE!</v>
      </c>
      <c r="EW65" s="876" t="e">
        <f t="shared" si="151"/>
        <v>#VALUE!</v>
      </c>
      <c r="EX65" s="878" t="str">
        <f t="shared" si="152"/>
        <v/>
      </c>
      <c r="EY65" s="879" t="e">
        <f t="shared" si="153"/>
        <v>#VALUE!</v>
      </c>
      <c r="EZ65" s="959" t="e">
        <f t="shared" si="154"/>
        <v>#VALUE!</v>
      </c>
      <c r="FA65" s="960" t="e">
        <f t="shared" si="155"/>
        <v>#VALUE!</v>
      </c>
      <c r="FB65" s="880" t="str">
        <f t="shared" si="156"/>
        <v/>
      </c>
      <c r="FC65" s="881" t="str">
        <f t="shared" si="157"/>
        <v/>
      </c>
      <c r="FD65" s="890">
        <f t="shared" si="158"/>
        <v>0</v>
      </c>
      <c r="FE65" s="833">
        <f t="shared" si="159"/>
        <v>0</v>
      </c>
      <c r="FF65" s="754" t="b">
        <f t="shared" si="160"/>
        <v>0</v>
      </c>
      <c r="FG65" s="754" t="b">
        <f t="shared" si="161"/>
        <v>0</v>
      </c>
      <c r="FH65" s="754" t="b">
        <f t="shared" si="162"/>
        <v>0</v>
      </c>
      <c r="FI65" s="754" t="b">
        <f t="shared" si="163"/>
        <v>0</v>
      </c>
      <c r="FJ65" s="920" t="str">
        <f t="shared" si="177"/>
        <v/>
      </c>
      <c r="FK65" s="919" t="str">
        <f t="shared" si="178"/>
        <v/>
      </c>
      <c r="FL65" s="320" t="e">
        <f t="shared" si="179"/>
        <v>#N/A</v>
      </c>
      <c r="FM65" s="312" t="str">
        <f t="shared" si="164"/>
        <v/>
      </c>
      <c r="FN65" s="272" t="str">
        <f t="shared" ca="1" si="180"/>
        <v/>
      </c>
      <c r="FO65" s="273" t="str">
        <f t="shared" ca="1" si="181"/>
        <v/>
      </c>
      <c r="FP65" s="274" t="str">
        <f t="shared" ca="1" si="182"/>
        <v/>
      </c>
      <c r="FQ65" s="274" t="str">
        <f t="shared" ca="1" si="183"/>
        <v/>
      </c>
      <c r="FR65" s="321">
        <f t="shared" ca="1" si="184"/>
        <v>0</v>
      </c>
      <c r="FS65" s="322">
        <f t="shared" ca="1" si="185"/>
        <v>0</v>
      </c>
      <c r="FT65" s="272" t="str">
        <f t="shared" ca="1" si="186"/>
        <v/>
      </c>
      <c r="FU65" s="275" t="str">
        <f t="shared" ca="1" si="187"/>
        <v/>
      </c>
      <c r="FV65" s="323" t="str">
        <f t="shared" ca="1" si="165"/>
        <v/>
      </c>
      <c r="FW65" s="276" t="str">
        <f t="shared" ca="1" si="188"/>
        <v/>
      </c>
      <c r="FX65" s="276" t="str">
        <f t="shared" ca="1" si="189"/>
        <v/>
      </c>
      <c r="FY65" s="276" t="str">
        <f t="shared" ca="1" si="190"/>
        <v/>
      </c>
      <c r="FZ65" s="276" t="str">
        <f t="shared" ca="1" si="191"/>
        <v/>
      </c>
      <c r="GA65" s="276" t="str">
        <f t="shared" ca="1" si="192"/>
        <v/>
      </c>
      <c r="GB65" s="277" t="str">
        <f ca="1">IF(FY65="","",2+SUM(FO65:OFFSET(FO65,(FU65-1)*-1,0)))</f>
        <v/>
      </c>
      <c r="GC65" s="316" t="e">
        <f t="shared" si="193"/>
        <v>#N/A</v>
      </c>
      <c r="GD65" s="324" t="str">
        <f t="shared" si="166"/>
        <v/>
      </c>
      <c r="GE65" s="325" t="str">
        <f t="shared" si="167"/>
        <v/>
      </c>
      <c r="GF65" s="278" t="str">
        <f t="shared" si="168"/>
        <v/>
      </c>
      <c r="GG65" s="279" t="str">
        <f t="shared" si="169"/>
        <v/>
      </c>
      <c r="GH65" s="279" t="str">
        <f t="shared" si="170"/>
        <v/>
      </c>
      <c r="GI65" s="280" t="str">
        <f t="shared" si="171"/>
        <v/>
      </c>
      <c r="GJ65" s="530">
        <f t="shared" ca="1" si="172"/>
        <v>0</v>
      </c>
      <c r="GK65" s="895" t="str">
        <f t="shared" ca="1" si="194"/>
        <v/>
      </c>
    </row>
    <row r="66" spans="78:193" ht="12.6" hidden="1" customHeight="1" x14ac:dyDescent="0.2">
      <c r="BZ66" s="293"/>
      <c r="CA66" s="293"/>
      <c r="CB66" s="365" t="str">
        <f t="shared" si="100"/>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1"/>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2"/>
        <v>0</v>
      </c>
      <c r="CU66" s="1316">
        <f t="shared" si="103"/>
        <v>0</v>
      </c>
      <c r="CV66" s="1310" t="str">
        <f t="shared" si="104"/>
        <v/>
      </c>
      <c r="CW66" s="1310" t="str">
        <f t="shared" si="105"/>
        <v/>
      </c>
      <c r="CX66" s="1310" t="str">
        <f t="shared" si="106"/>
        <v/>
      </c>
      <c r="CY66" s="1312">
        <f t="shared" si="107"/>
        <v>0</v>
      </c>
      <c r="CZ66" s="1312">
        <f t="shared" si="108"/>
        <v>0</v>
      </c>
      <c r="DA66" s="1312" t="str">
        <f t="shared" si="109"/>
        <v/>
      </c>
      <c r="DB66" s="1310" t="str">
        <f t="shared" si="173"/>
        <v/>
      </c>
      <c r="DC66" s="1310" t="str">
        <f t="shared" si="110"/>
        <v/>
      </c>
      <c r="DD66" s="875">
        <f t="shared" si="174"/>
        <v>0</v>
      </c>
      <c r="DE66" s="873">
        <f t="shared" si="111"/>
        <v>0</v>
      </c>
      <c r="DF66" s="874">
        <f t="shared" si="112"/>
        <v>0</v>
      </c>
      <c r="DG66" s="874" t="str">
        <f t="shared" si="113"/>
        <v/>
      </c>
      <c r="DH66" s="1310" t="str">
        <f t="shared" si="175"/>
        <v/>
      </c>
      <c r="DI66" s="1310" t="str">
        <f t="shared" si="114"/>
        <v/>
      </c>
      <c r="DJ66" s="1311">
        <f t="shared" si="176"/>
        <v>0</v>
      </c>
      <c r="DK66" s="1310" t="str">
        <f t="shared" si="115"/>
        <v/>
      </c>
      <c r="DL66" s="1310" t="str">
        <f t="shared" si="116"/>
        <v/>
      </c>
      <c r="DM66" s="1310" t="str">
        <f t="shared" si="117"/>
        <v/>
      </c>
      <c r="DN66" s="1310" t="str">
        <f t="shared" si="118"/>
        <v/>
      </c>
      <c r="DO66" s="889" t="str">
        <f t="shared" si="119"/>
        <v>ERR</v>
      </c>
      <c r="DP66" s="889" t="str">
        <f t="shared" si="120"/>
        <v>ERR</v>
      </c>
      <c r="DQ66" s="1310" t="str">
        <f t="shared" si="121"/>
        <v/>
      </c>
      <c r="DR66" s="1310" t="str">
        <f t="shared" si="121"/>
        <v/>
      </c>
      <c r="DS66" s="1310" t="str">
        <f t="shared" si="122"/>
        <v/>
      </c>
      <c r="DT66" s="1310" t="str">
        <f t="shared" si="123"/>
        <v/>
      </c>
      <c r="DU66" s="1310" t="str">
        <f t="shared" si="124"/>
        <v/>
      </c>
      <c r="DV66" s="889" t="str">
        <f t="shared" si="125"/>
        <v>ERR</v>
      </c>
      <c r="DW66" s="889" t="str">
        <f t="shared" si="126"/>
        <v>ERR</v>
      </c>
      <c r="DX66" s="873" t="str">
        <f t="shared" si="127"/>
        <v/>
      </c>
      <c r="DY66" s="873" t="str">
        <f t="shared" si="127"/>
        <v/>
      </c>
      <c r="DZ66" s="873" t="str">
        <f t="shared" si="128"/>
        <v/>
      </c>
      <c r="EA66" s="873" t="str">
        <f t="shared" si="129"/>
        <v/>
      </c>
      <c r="EB66" s="876" t="str">
        <f t="shared" si="130"/>
        <v/>
      </c>
      <c r="EC66" s="877" t="str">
        <f t="shared" si="131"/>
        <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t="str">
        <f t="shared" si="143"/>
        <v/>
      </c>
      <c r="EP66" s="874">
        <f t="shared" si="144"/>
        <v>0</v>
      </c>
      <c r="EQ66" s="874">
        <f t="shared" si="145"/>
        <v>0</v>
      </c>
      <c r="ER66" s="874">
        <f t="shared" si="146"/>
        <v>0</v>
      </c>
      <c r="ES66" s="874" t="str">
        <f t="shared" si="147"/>
        <v/>
      </c>
      <c r="ET66" s="873" t="str">
        <f t="shared" si="148"/>
        <v/>
      </c>
      <c r="EU66" s="873">
        <f t="shared" si="149"/>
        <v>0</v>
      </c>
      <c r="EV66" s="876" t="e">
        <f t="shared" si="150"/>
        <v>#VALUE!</v>
      </c>
      <c r="EW66" s="876" t="e">
        <f t="shared" si="151"/>
        <v>#VALUE!</v>
      </c>
      <c r="EX66" s="878" t="str">
        <f t="shared" si="152"/>
        <v/>
      </c>
      <c r="EY66" s="879" t="e">
        <f t="shared" si="153"/>
        <v>#VALUE!</v>
      </c>
      <c r="EZ66" s="959" t="e">
        <f t="shared" si="154"/>
        <v>#VALUE!</v>
      </c>
      <c r="FA66" s="960" t="e">
        <f t="shared" si="155"/>
        <v>#VALUE!</v>
      </c>
      <c r="FB66" s="880" t="str">
        <f t="shared" si="156"/>
        <v/>
      </c>
      <c r="FC66" s="881" t="str">
        <f t="shared" si="157"/>
        <v/>
      </c>
      <c r="FD66" s="890">
        <f t="shared" si="158"/>
        <v>0</v>
      </c>
      <c r="FE66" s="833">
        <f t="shared" si="159"/>
        <v>0</v>
      </c>
      <c r="FF66" s="754" t="b">
        <f t="shared" si="160"/>
        <v>0</v>
      </c>
      <c r="FG66" s="754" t="b">
        <f t="shared" si="161"/>
        <v>0</v>
      </c>
      <c r="FH66" s="754" t="b">
        <f t="shared" si="162"/>
        <v>0</v>
      </c>
      <c r="FI66" s="754" t="b">
        <f t="shared" si="163"/>
        <v>0</v>
      </c>
      <c r="FJ66" s="920" t="str">
        <f t="shared" si="177"/>
        <v/>
      </c>
      <c r="FK66" s="919" t="str">
        <f t="shared" si="178"/>
        <v/>
      </c>
      <c r="FL66" s="320" t="e">
        <f t="shared" si="179"/>
        <v>#N/A</v>
      </c>
      <c r="FM66" s="312" t="str">
        <f t="shared" si="164"/>
        <v/>
      </c>
      <c r="FN66" s="272" t="str">
        <f t="shared" ca="1" si="180"/>
        <v/>
      </c>
      <c r="FO66" s="273" t="str">
        <f t="shared" ca="1" si="181"/>
        <v/>
      </c>
      <c r="FP66" s="274" t="str">
        <f t="shared" ca="1" si="182"/>
        <v/>
      </c>
      <c r="FQ66" s="274" t="str">
        <f t="shared" ca="1" si="183"/>
        <v/>
      </c>
      <c r="FR66" s="321">
        <f t="shared" ca="1" si="184"/>
        <v>0</v>
      </c>
      <c r="FS66" s="322">
        <f t="shared" ca="1" si="185"/>
        <v>0</v>
      </c>
      <c r="FT66" s="272" t="str">
        <f t="shared" ca="1" si="186"/>
        <v/>
      </c>
      <c r="FU66" s="275" t="str">
        <f t="shared" ca="1" si="187"/>
        <v/>
      </c>
      <c r="FV66" s="323" t="str">
        <f t="shared" ca="1" si="165"/>
        <v/>
      </c>
      <c r="FW66" s="276" t="str">
        <f t="shared" ca="1" si="188"/>
        <v/>
      </c>
      <c r="FX66" s="276" t="str">
        <f t="shared" ca="1" si="189"/>
        <v/>
      </c>
      <c r="FY66" s="276" t="str">
        <f t="shared" ca="1" si="190"/>
        <v/>
      </c>
      <c r="FZ66" s="276" t="str">
        <f t="shared" ca="1" si="191"/>
        <v/>
      </c>
      <c r="GA66" s="276" t="str">
        <f t="shared" ca="1" si="192"/>
        <v/>
      </c>
      <c r="GB66" s="277" t="str">
        <f ca="1">IF(FY66="","",2+SUM(FO66:OFFSET(FO66,(FU66-1)*-1,0)))</f>
        <v/>
      </c>
      <c r="GC66" s="316" t="e">
        <f t="shared" si="193"/>
        <v>#N/A</v>
      </c>
      <c r="GD66" s="324" t="str">
        <f t="shared" si="166"/>
        <v/>
      </c>
      <c r="GE66" s="325" t="str">
        <f t="shared" si="167"/>
        <v/>
      </c>
      <c r="GF66" s="278" t="str">
        <f t="shared" si="168"/>
        <v/>
      </c>
      <c r="GG66" s="279" t="str">
        <f t="shared" si="169"/>
        <v/>
      </c>
      <c r="GH66" s="279" t="str">
        <f t="shared" si="170"/>
        <v/>
      </c>
      <c r="GI66" s="280" t="str">
        <f t="shared" si="171"/>
        <v/>
      </c>
      <c r="GJ66" s="530">
        <f t="shared" ca="1" si="172"/>
        <v>0</v>
      </c>
      <c r="GK66" s="895" t="str">
        <f t="shared" ca="1" si="194"/>
        <v/>
      </c>
    </row>
    <row r="67" spans="78:193" ht="12.6" hidden="1" customHeight="1" x14ac:dyDescent="0.2">
      <c r="BZ67" s="293"/>
      <c r="CA67" s="293"/>
      <c r="CB67" s="365" t="str">
        <f t="shared" si="100"/>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1"/>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2"/>
        <v>0</v>
      </c>
      <c r="CU67" s="1316">
        <f t="shared" si="103"/>
        <v>0</v>
      </c>
      <c r="CV67" s="1310" t="str">
        <f t="shared" si="104"/>
        <v/>
      </c>
      <c r="CW67" s="1310" t="str">
        <f t="shared" si="105"/>
        <v/>
      </c>
      <c r="CX67" s="1310" t="str">
        <f t="shared" si="106"/>
        <v/>
      </c>
      <c r="CY67" s="1312">
        <f t="shared" si="107"/>
        <v>0</v>
      </c>
      <c r="CZ67" s="1312">
        <f t="shared" si="108"/>
        <v>0</v>
      </c>
      <c r="DA67" s="1312" t="str">
        <f t="shared" si="109"/>
        <v/>
      </c>
      <c r="DB67" s="1310" t="str">
        <f t="shared" si="173"/>
        <v/>
      </c>
      <c r="DC67" s="1310" t="str">
        <f t="shared" si="110"/>
        <v/>
      </c>
      <c r="DD67" s="875">
        <f t="shared" si="174"/>
        <v>0</v>
      </c>
      <c r="DE67" s="873">
        <f t="shared" si="111"/>
        <v>0</v>
      </c>
      <c r="DF67" s="874">
        <f t="shared" si="112"/>
        <v>0</v>
      </c>
      <c r="DG67" s="874" t="str">
        <f t="shared" si="113"/>
        <v/>
      </c>
      <c r="DH67" s="1310" t="str">
        <f t="shared" si="175"/>
        <v/>
      </c>
      <c r="DI67" s="1310" t="str">
        <f t="shared" si="114"/>
        <v/>
      </c>
      <c r="DJ67" s="1311">
        <f t="shared" si="176"/>
        <v>0</v>
      </c>
      <c r="DK67" s="1310" t="str">
        <f t="shared" si="115"/>
        <v/>
      </c>
      <c r="DL67" s="1310" t="str">
        <f t="shared" si="116"/>
        <v/>
      </c>
      <c r="DM67" s="1310" t="str">
        <f t="shared" si="117"/>
        <v/>
      </c>
      <c r="DN67" s="1310" t="str">
        <f t="shared" si="118"/>
        <v/>
      </c>
      <c r="DO67" s="889" t="str">
        <f t="shared" si="119"/>
        <v>ERR</v>
      </c>
      <c r="DP67" s="889" t="str">
        <f t="shared" si="120"/>
        <v>ERR</v>
      </c>
      <c r="DQ67" s="1310" t="str">
        <f t="shared" si="121"/>
        <v/>
      </c>
      <c r="DR67" s="1310" t="str">
        <f t="shared" si="121"/>
        <v/>
      </c>
      <c r="DS67" s="1310" t="str">
        <f t="shared" si="122"/>
        <v/>
      </c>
      <c r="DT67" s="1310" t="str">
        <f t="shared" si="123"/>
        <v/>
      </c>
      <c r="DU67" s="1310" t="str">
        <f t="shared" si="124"/>
        <v/>
      </c>
      <c r="DV67" s="889" t="str">
        <f t="shared" si="125"/>
        <v>ERR</v>
      </c>
      <c r="DW67" s="889" t="str">
        <f t="shared" si="126"/>
        <v>ERR</v>
      </c>
      <c r="DX67" s="873" t="str">
        <f t="shared" si="127"/>
        <v/>
      </c>
      <c r="DY67" s="873" t="str">
        <f t="shared" si="127"/>
        <v/>
      </c>
      <c r="DZ67" s="873" t="str">
        <f t="shared" si="128"/>
        <v/>
      </c>
      <c r="EA67" s="873" t="str">
        <f t="shared" si="129"/>
        <v/>
      </c>
      <c r="EB67" s="876" t="str">
        <f t="shared" si="130"/>
        <v/>
      </c>
      <c r="EC67" s="877" t="str">
        <f t="shared" si="131"/>
        <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t="str">
        <f t="shared" si="143"/>
        <v/>
      </c>
      <c r="EP67" s="874">
        <f t="shared" si="144"/>
        <v>0</v>
      </c>
      <c r="EQ67" s="874">
        <f t="shared" si="145"/>
        <v>0</v>
      </c>
      <c r="ER67" s="874">
        <f t="shared" si="146"/>
        <v>0</v>
      </c>
      <c r="ES67" s="874" t="str">
        <f t="shared" si="147"/>
        <v/>
      </c>
      <c r="ET67" s="873" t="str">
        <f t="shared" si="148"/>
        <v/>
      </c>
      <c r="EU67" s="873">
        <f t="shared" si="149"/>
        <v>0</v>
      </c>
      <c r="EV67" s="876" t="e">
        <f t="shared" si="150"/>
        <v>#VALUE!</v>
      </c>
      <c r="EW67" s="876" t="e">
        <f t="shared" si="151"/>
        <v>#VALUE!</v>
      </c>
      <c r="EX67" s="878" t="str">
        <f t="shared" si="152"/>
        <v/>
      </c>
      <c r="EY67" s="879" t="e">
        <f t="shared" si="153"/>
        <v>#DIV/0!</v>
      </c>
      <c r="EZ67" s="959" t="e">
        <f t="shared" si="154"/>
        <v>#DIV/0!</v>
      </c>
      <c r="FA67" s="960" t="e">
        <f t="shared" si="155"/>
        <v>#DIV/0!</v>
      </c>
      <c r="FB67" s="880" t="str">
        <f t="shared" si="156"/>
        <v/>
      </c>
      <c r="FC67" s="881" t="str">
        <f t="shared" si="157"/>
        <v/>
      </c>
      <c r="FD67" s="890">
        <f t="shared" si="158"/>
        <v>0</v>
      </c>
      <c r="FE67" s="833">
        <f t="shared" si="159"/>
        <v>0</v>
      </c>
      <c r="FF67" s="754" t="b">
        <f t="shared" si="160"/>
        <v>0</v>
      </c>
      <c r="FG67" s="754" t="b">
        <f t="shared" si="161"/>
        <v>0</v>
      </c>
      <c r="FH67" s="754" t="b">
        <f t="shared" si="162"/>
        <v>0</v>
      </c>
      <c r="FI67" s="754" t="b">
        <f t="shared" si="163"/>
        <v>0</v>
      </c>
      <c r="FJ67" s="920" t="str">
        <f t="shared" si="177"/>
        <v/>
      </c>
      <c r="FK67" s="919" t="str">
        <f t="shared" si="178"/>
        <v/>
      </c>
      <c r="FL67" s="320" t="e">
        <f t="shared" si="179"/>
        <v>#N/A</v>
      </c>
      <c r="FM67" s="312" t="str">
        <f t="shared" si="164"/>
        <v/>
      </c>
      <c r="FN67" s="272" t="str">
        <f t="shared" ca="1" si="180"/>
        <v/>
      </c>
      <c r="FO67" s="273" t="str">
        <f t="shared" ca="1" si="181"/>
        <v/>
      </c>
      <c r="FP67" s="274" t="str">
        <f t="shared" ca="1" si="182"/>
        <v/>
      </c>
      <c r="FQ67" s="274" t="str">
        <f t="shared" ca="1" si="183"/>
        <v/>
      </c>
      <c r="FR67" s="321">
        <f t="shared" ca="1" si="184"/>
        <v>0</v>
      </c>
      <c r="FS67" s="322">
        <f t="shared" ca="1" si="185"/>
        <v>0</v>
      </c>
      <c r="FT67" s="272" t="str">
        <f t="shared" ca="1" si="186"/>
        <v/>
      </c>
      <c r="FU67" s="275" t="str">
        <f t="shared" ca="1" si="187"/>
        <v/>
      </c>
      <c r="FV67" s="323" t="str">
        <f t="shared" ca="1" si="165"/>
        <v/>
      </c>
      <c r="FW67" s="276" t="str">
        <f t="shared" ca="1" si="188"/>
        <v/>
      </c>
      <c r="FX67" s="276" t="str">
        <f t="shared" ca="1" si="189"/>
        <v/>
      </c>
      <c r="FY67" s="276" t="str">
        <f t="shared" ca="1" si="190"/>
        <v/>
      </c>
      <c r="FZ67" s="276" t="str">
        <f t="shared" ca="1" si="191"/>
        <v/>
      </c>
      <c r="GA67" s="276" t="str">
        <f t="shared" ca="1" si="192"/>
        <v/>
      </c>
      <c r="GB67" s="277" t="str">
        <f ca="1">IF(FY67="","",2+SUM(FO67:OFFSET(FO67,(FU67-1)*-1,0)))</f>
        <v/>
      </c>
      <c r="GC67" s="316" t="e">
        <f t="shared" si="193"/>
        <v>#N/A</v>
      </c>
      <c r="GD67" s="324" t="str">
        <f t="shared" si="166"/>
        <v/>
      </c>
      <c r="GE67" s="325" t="str">
        <f t="shared" si="167"/>
        <v/>
      </c>
      <c r="GF67" s="278" t="str">
        <f t="shared" si="168"/>
        <v/>
      </c>
      <c r="GG67" s="279" t="str">
        <f t="shared" si="169"/>
        <v/>
      </c>
      <c r="GH67" s="279" t="str">
        <f t="shared" si="170"/>
        <v/>
      </c>
      <c r="GI67" s="280" t="str">
        <f t="shared" si="171"/>
        <v/>
      </c>
      <c r="GJ67" s="530">
        <f t="shared" ca="1" si="172"/>
        <v>0</v>
      </c>
      <c r="GK67" s="895" t="str">
        <f t="shared" ca="1" si="194"/>
        <v/>
      </c>
    </row>
    <row r="68" spans="78:193" ht="12.6" hidden="1" customHeight="1" x14ac:dyDescent="0.2">
      <c r="BZ68" s="293"/>
      <c r="CA68" s="293"/>
      <c r="CB68" s="365" t="str">
        <f t="shared" si="100"/>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1"/>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2"/>
        <v>0</v>
      </c>
      <c r="CU68" s="1316">
        <f t="shared" si="103"/>
        <v>0</v>
      </c>
      <c r="CV68" s="1310" t="str">
        <f t="shared" si="104"/>
        <v/>
      </c>
      <c r="CW68" s="1310" t="str">
        <f t="shared" si="105"/>
        <v/>
      </c>
      <c r="CX68" s="1310" t="str">
        <f t="shared" si="106"/>
        <v/>
      </c>
      <c r="CY68" s="1312">
        <f t="shared" si="107"/>
        <v>0</v>
      </c>
      <c r="CZ68" s="1312">
        <f t="shared" si="108"/>
        <v>0</v>
      </c>
      <c r="DA68" s="1312" t="str">
        <f t="shared" si="109"/>
        <v/>
      </c>
      <c r="DB68" s="1310" t="str">
        <f t="shared" si="173"/>
        <v/>
      </c>
      <c r="DC68" s="1310" t="str">
        <f t="shared" si="110"/>
        <v/>
      </c>
      <c r="DD68" s="875">
        <f t="shared" si="174"/>
        <v>0</v>
      </c>
      <c r="DE68" s="873">
        <f t="shared" si="111"/>
        <v>0</v>
      </c>
      <c r="DF68" s="874">
        <f t="shared" si="112"/>
        <v>0</v>
      </c>
      <c r="DG68" s="874" t="str">
        <f t="shared" si="113"/>
        <v/>
      </c>
      <c r="DH68" s="1310" t="str">
        <f t="shared" si="175"/>
        <v/>
      </c>
      <c r="DI68" s="1310" t="str">
        <f t="shared" si="114"/>
        <v/>
      </c>
      <c r="DJ68" s="1311">
        <f t="shared" si="176"/>
        <v>0</v>
      </c>
      <c r="DK68" s="1310" t="str">
        <f t="shared" si="115"/>
        <v/>
      </c>
      <c r="DL68" s="1310" t="str">
        <f t="shared" si="116"/>
        <v/>
      </c>
      <c r="DM68" s="1310" t="str">
        <f t="shared" si="117"/>
        <v/>
      </c>
      <c r="DN68" s="1310" t="str">
        <f t="shared" si="118"/>
        <v/>
      </c>
      <c r="DO68" s="889" t="str">
        <f t="shared" si="119"/>
        <v>ERR</v>
      </c>
      <c r="DP68" s="889" t="str">
        <f t="shared" si="120"/>
        <v>ERR</v>
      </c>
      <c r="DQ68" s="1310" t="str">
        <f t="shared" si="121"/>
        <v/>
      </c>
      <c r="DR68" s="1310" t="str">
        <f t="shared" si="121"/>
        <v/>
      </c>
      <c r="DS68" s="1310" t="str">
        <f t="shared" si="122"/>
        <v/>
      </c>
      <c r="DT68" s="1310" t="str">
        <f t="shared" si="123"/>
        <v/>
      </c>
      <c r="DU68" s="1310" t="str">
        <f t="shared" si="124"/>
        <v/>
      </c>
      <c r="DV68" s="889" t="str">
        <f t="shared" si="125"/>
        <v>ERR</v>
      </c>
      <c r="DW68" s="889" t="str">
        <f t="shared" si="126"/>
        <v>ERR</v>
      </c>
      <c r="DX68" s="873" t="str">
        <f t="shared" si="127"/>
        <v/>
      </c>
      <c r="DY68" s="873" t="str">
        <f t="shared" si="127"/>
        <v/>
      </c>
      <c r="DZ68" s="873" t="str">
        <f t="shared" si="128"/>
        <v/>
      </c>
      <c r="EA68" s="873" t="str">
        <f t="shared" si="129"/>
        <v/>
      </c>
      <c r="EB68" s="876" t="str">
        <f t="shared" si="130"/>
        <v/>
      </c>
      <c r="EC68" s="877" t="str">
        <f t="shared" si="131"/>
        <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t="str">
        <f t="shared" si="143"/>
        <v/>
      </c>
      <c r="EP68" s="874">
        <f t="shared" si="144"/>
        <v>0</v>
      </c>
      <c r="EQ68" s="874">
        <f t="shared" si="145"/>
        <v>0</v>
      </c>
      <c r="ER68" s="874">
        <f t="shared" si="146"/>
        <v>0</v>
      </c>
      <c r="ES68" s="874" t="str">
        <f t="shared" si="147"/>
        <v/>
      </c>
      <c r="ET68" s="873" t="str">
        <f t="shared" si="148"/>
        <v/>
      </c>
      <c r="EU68" s="873">
        <f t="shared" si="149"/>
        <v>0</v>
      </c>
      <c r="EV68" s="876" t="e">
        <f t="shared" si="150"/>
        <v>#VALUE!</v>
      </c>
      <c r="EW68" s="876" t="e">
        <f t="shared" si="151"/>
        <v>#VALUE!</v>
      </c>
      <c r="EX68" s="878" t="str">
        <f t="shared" si="152"/>
        <v/>
      </c>
      <c r="EY68" s="879" t="e">
        <f t="shared" si="153"/>
        <v>#DIV/0!</v>
      </c>
      <c r="EZ68" s="959" t="e">
        <f t="shared" si="154"/>
        <v>#DIV/0!</v>
      </c>
      <c r="FA68" s="960" t="e">
        <f t="shared" si="155"/>
        <v>#DIV/0!</v>
      </c>
      <c r="FB68" s="880" t="str">
        <f t="shared" si="156"/>
        <v/>
      </c>
      <c r="FC68" s="881" t="str">
        <f t="shared" si="157"/>
        <v/>
      </c>
      <c r="FD68" s="890">
        <f t="shared" si="158"/>
        <v>0</v>
      </c>
      <c r="FE68" s="833">
        <f t="shared" si="159"/>
        <v>0</v>
      </c>
      <c r="FF68" s="754" t="b">
        <f t="shared" si="160"/>
        <v>0</v>
      </c>
      <c r="FG68" s="754" t="b">
        <f t="shared" si="161"/>
        <v>0</v>
      </c>
      <c r="FH68" s="754" t="b">
        <f t="shared" si="162"/>
        <v>0</v>
      </c>
      <c r="FI68" s="754" t="b">
        <f t="shared" si="163"/>
        <v>0</v>
      </c>
      <c r="FJ68" s="920" t="str">
        <f t="shared" si="177"/>
        <v/>
      </c>
      <c r="FK68" s="919" t="str">
        <f t="shared" si="178"/>
        <v/>
      </c>
      <c r="FL68" s="320" t="e">
        <f t="shared" si="179"/>
        <v>#N/A</v>
      </c>
      <c r="FM68" s="312" t="str">
        <f t="shared" si="164"/>
        <v/>
      </c>
      <c r="FN68" s="272" t="str">
        <f t="shared" ca="1" si="180"/>
        <v/>
      </c>
      <c r="FO68" s="273" t="str">
        <f t="shared" ca="1" si="181"/>
        <v/>
      </c>
      <c r="FP68" s="274" t="str">
        <f t="shared" ca="1" si="182"/>
        <v/>
      </c>
      <c r="FQ68" s="274" t="str">
        <f t="shared" ca="1" si="183"/>
        <v/>
      </c>
      <c r="FR68" s="321">
        <f t="shared" ca="1" si="184"/>
        <v>0</v>
      </c>
      <c r="FS68" s="322">
        <f t="shared" ca="1" si="185"/>
        <v>0</v>
      </c>
      <c r="FT68" s="272" t="str">
        <f t="shared" ca="1" si="186"/>
        <v/>
      </c>
      <c r="FU68" s="275" t="str">
        <f t="shared" ca="1" si="187"/>
        <v/>
      </c>
      <c r="FV68" s="323" t="str">
        <f t="shared" ca="1" si="165"/>
        <v/>
      </c>
      <c r="FW68" s="276" t="str">
        <f t="shared" ca="1" si="188"/>
        <v/>
      </c>
      <c r="FX68" s="276" t="str">
        <f t="shared" ca="1" si="189"/>
        <v/>
      </c>
      <c r="FY68" s="276" t="str">
        <f t="shared" ca="1" si="190"/>
        <v/>
      </c>
      <c r="FZ68" s="276" t="str">
        <f t="shared" ca="1" si="191"/>
        <v/>
      </c>
      <c r="GA68" s="276" t="str">
        <f t="shared" ca="1" si="192"/>
        <v/>
      </c>
      <c r="GB68" s="277" t="str">
        <f ca="1">IF(FY68="","",2+SUM(FO68:OFFSET(FO68,(FU68-1)*-1,0)))</f>
        <v/>
      </c>
      <c r="GC68" s="316" t="e">
        <f t="shared" si="193"/>
        <v>#N/A</v>
      </c>
      <c r="GD68" s="324" t="str">
        <f t="shared" si="166"/>
        <v/>
      </c>
      <c r="GE68" s="325" t="str">
        <f t="shared" si="167"/>
        <v/>
      </c>
      <c r="GF68" s="278" t="str">
        <f t="shared" si="168"/>
        <v/>
      </c>
      <c r="GG68" s="279" t="str">
        <f t="shared" si="169"/>
        <v/>
      </c>
      <c r="GH68" s="279" t="str">
        <f t="shared" si="170"/>
        <v/>
      </c>
      <c r="GI68" s="280" t="str">
        <f t="shared" si="171"/>
        <v/>
      </c>
      <c r="GJ68" s="530">
        <f t="shared" ca="1" si="172"/>
        <v>0</v>
      </c>
      <c r="GK68" s="895" t="str">
        <f t="shared" ca="1" si="194"/>
        <v/>
      </c>
    </row>
    <row r="69" spans="78:193" ht="12.6" hidden="1" customHeight="1" x14ac:dyDescent="0.2">
      <c r="BZ69" s="293"/>
      <c r="CA69" s="293"/>
      <c r="CB69" s="365" t="str">
        <f t="shared" si="100"/>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1"/>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2"/>
        <v>0</v>
      </c>
      <c r="CU69" s="1316">
        <f t="shared" si="103"/>
        <v>0</v>
      </c>
      <c r="CV69" s="1310" t="str">
        <f t="shared" si="104"/>
        <v/>
      </c>
      <c r="CW69" s="1310" t="str">
        <f t="shared" si="105"/>
        <v/>
      </c>
      <c r="CX69" s="1310" t="str">
        <f t="shared" si="106"/>
        <v/>
      </c>
      <c r="CY69" s="1312">
        <f t="shared" si="107"/>
        <v>0</v>
      </c>
      <c r="CZ69" s="1312">
        <f t="shared" si="108"/>
        <v>0</v>
      </c>
      <c r="DA69" s="1312" t="str">
        <f t="shared" si="109"/>
        <v/>
      </c>
      <c r="DB69" s="1310" t="str">
        <f t="shared" si="173"/>
        <v/>
      </c>
      <c r="DC69" s="1310" t="str">
        <f t="shared" si="110"/>
        <v/>
      </c>
      <c r="DD69" s="875">
        <f t="shared" si="174"/>
        <v>0</v>
      </c>
      <c r="DE69" s="873">
        <f t="shared" si="111"/>
        <v>0</v>
      </c>
      <c r="DF69" s="874">
        <f t="shared" si="112"/>
        <v>0</v>
      </c>
      <c r="DG69" s="874" t="str">
        <f t="shared" si="113"/>
        <v/>
      </c>
      <c r="DH69" s="1310" t="str">
        <f t="shared" si="175"/>
        <v/>
      </c>
      <c r="DI69" s="1310" t="str">
        <f t="shared" si="114"/>
        <v/>
      </c>
      <c r="DJ69" s="1311">
        <f t="shared" si="176"/>
        <v>0</v>
      </c>
      <c r="DK69" s="1310" t="str">
        <f t="shared" si="115"/>
        <v/>
      </c>
      <c r="DL69" s="1310" t="str">
        <f t="shared" si="116"/>
        <v/>
      </c>
      <c r="DM69" s="1310" t="str">
        <f t="shared" si="117"/>
        <v/>
      </c>
      <c r="DN69" s="1310" t="str">
        <f t="shared" si="118"/>
        <v/>
      </c>
      <c r="DO69" s="889" t="str">
        <f t="shared" si="119"/>
        <v>ERR</v>
      </c>
      <c r="DP69" s="889" t="str">
        <f t="shared" si="120"/>
        <v>ERR</v>
      </c>
      <c r="DQ69" s="1310" t="str">
        <f t="shared" si="121"/>
        <v/>
      </c>
      <c r="DR69" s="1310" t="str">
        <f t="shared" si="121"/>
        <v/>
      </c>
      <c r="DS69" s="1310" t="str">
        <f t="shared" si="122"/>
        <v/>
      </c>
      <c r="DT69" s="1310" t="str">
        <f t="shared" si="123"/>
        <v/>
      </c>
      <c r="DU69" s="1310" t="str">
        <f t="shared" si="124"/>
        <v/>
      </c>
      <c r="DV69" s="889" t="str">
        <f t="shared" si="125"/>
        <v>ERR</v>
      </c>
      <c r="DW69" s="889" t="str">
        <f t="shared" si="126"/>
        <v>ERR</v>
      </c>
      <c r="DX69" s="873" t="str">
        <f t="shared" si="127"/>
        <v/>
      </c>
      <c r="DY69" s="873" t="str">
        <f t="shared" si="127"/>
        <v/>
      </c>
      <c r="DZ69" s="873" t="str">
        <f t="shared" si="128"/>
        <v/>
      </c>
      <c r="EA69" s="873" t="str">
        <f t="shared" si="129"/>
        <v/>
      </c>
      <c r="EB69" s="876" t="str">
        <f t="shared" si="130"/>
        <v/>
      </c>
      <c r="EC69" s="877" t="str">
        <f t="shared" si="131"/>
        <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t="str">
        <f t="shared" si="143"/>
        <v/>
      </c>
      <c r="EP69" s="874">
        <f t="shared" si="144"/>
        <v>0</v>
      </c>
      <c r="EQ69" s="874">
        <f t="shared" si="145"/>
        <v>0</v>
      </c>
      <c r="ER69" s="874">
        <f t="shared" si="146"/>
        <v>0</v>
      </c>
      <c r="ES69" s="874" t="str">
        <f t="shared" si="147"/>
        <v/>
      </c>
      <c r="ET69" s="873" t="str">
        <f t="shared" si="148"/>
        <v/>
      </c>
      <c r="EU69" s="873">
        <f t="shared" si="149"/>
        <v>0</v>
      </c>
      <c r="EV69" s="876" t="e">
        <f t="shared" si="150"/>
        <v>#VALUE!</v>
      </c>
      <c r="EW69" s="876" t="e">
        <f t="shared" si="151"/>
        <v>#VALUE!</v>
      </c>
      <c r="EX69" s="878" t="str">
        <f t="shared" si="152"/>
        <v/>
      </c>
      <c r="EY69" s="879" t="e">
        <f t="shared" si="153"/>
        <v>#DIV/0!</v>
      </c>
      <c r="EZ69" s="959" t="e">
        <f t="shared" si="154"/>
        <v>#DIV/0!</v>
      </c>
      <c r="FA69" s="960" t="e">
        <f t="shared" si="155"/>
        <v>#DIV/0!</v>
      </c>
      <c r="FB69" s="880" t="str">
        <f t="shared" si="156"/>
        <v/>
      </c>
      <c r="FC69" s="881" t="str">
        <f t="shared" si="157"/>
        <v/>
      </c>
      <c r="FD69" s="890">
        <f t="shared" si="158"/>
        <v>0</v>
      </c>
      <c r="FE69" s="833">
        <f t="shared" si="159"/>
        <v>0</v>
      </c>
      <c r="FF69" s="754" t="b">
        <f t="shared" si="160"/>
        <v>0</v>
      </c>
      <c r="FG69" s="754" t="b">
        <f t="shared" si="161"/>
        <v>0</v>
      </c>
      <c r="FH69" s="754" t="b">
        <f t="shared" si="162"/>
        <v>0</v>
      </c>
      <c r="FI69" s="754" t="b">
        <f t="shared" si="163"/>
        <v>0</v>
      </c>
      <c r="FJ69" s="920" t="str">
        <f t="shared" si="177"/>
        <v/>
      </c>
      <c r="FK69" s="919" t="str">
        <f t="shared" si="178"/>
        <v/>
      </c>
      <c r="FL69" s="320" t="e">
        <f t="shared" si="179"/>
        <v>#N/A</v>
      </c>
      <c r="FM69" s="312" t="str">
        <f t="shared" si="164"/>
        <v/>
      </c>
      <c r="FN69" s="272" t="str">
        <f t="shared" ca="1" si="180"/>
        <v/>
      </c>
      <c r="FO69" s="273" t="str">
        <f t="shared" ca="1" si="181"/>
        <v/>
      </c>
      <c r="FP69" s="274" t="str">
        <f t="shared" ca="1" si="182"/>
        <v/>
      </c>
      <c r="FQ69" s="274" t="str">
        <f t="shared" ca="1" si="183"/>
        <v/>
      </c>
      <c r="FR69" s="321">
        <f t="shared" ca="1" si="184"/>
        <v>0</v>
      </c>
      <c r="FS69" s="322">
        <f t="shared" ca="1" si="185"/>
        <v>0</v>
      </c>
      <c r="FT69" s="272" t="str">
        <f t="shared" ca="1" si="186"/>
        <v/>
      </c>
      <c r="FU69" s="275" t="str">
        <f t="shared" ca="1" si="187"/>
        <v/>
      </c>
      <c r="FV69" s="323" t="str">
        <f t="shared" ca="1" si="165"/>
        <v/>
      </c>
      <c r="FW69" s="276" t="str">
        <f t="shared" ca="1" si="188"/>
        <v/>
      </c>
      <c r="FX69" s="276" t="str">
        <f t="shared" ca="1" si="189"/>
        <v/>
      </c>
      <c r="FY69" s="276" t="str">
        <f t="shared" ca="1" si="190"/>
        <v/>
      </c>
      <c r="FZ69" s="276" t="str">
        <f t="shared" ca="1" si="191"/>
        <v/>
      </c>
      <c r="GA69" s="276" t="str">
        <f t="shared" ca="1" si="192"/>
        <v/>
      </c>
      <c r="GB69" s="277" t="str">
        <f ca="1">IF(FY69="","",2+SUM(FO69:OFFSET(FO69,(FU69-1)*-1,0)))</f>
        <v/>
      </c>
      <c r="GC69" s="316" t="e">
        <f t="shared" si="193"/>
        <v>#N/A</v>
      </c>
      <c r="GD69" s="324" t="str">
        <f t="shared" si="166"/>
        <v/>
      </c>
      <c r="GE69" s="325" t="str">
        <f t="shared" si="167"/>
        <v/>
      </c>
      <c r="GF69" s="278" t="str">
        <f t="shared" si="168"/>
        <v/>
      </c>
      <c r="GG69" s="279" t="str">
        <f t="shared" si="169"/>
        <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1"/>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2"/>
        <v>0</v>
      </c>
      <c r="CU70" s="1316">
        <f t="shared" si="103"/>
        <v>0</v>
      </c>
      <c r="CV70" s="1310" t="str">
        <f t="shared" si="104"/>
        <v/>
      </c>
      <c r="CW70" s="1310" t="str">
        <f t="shared" si="105"/>
        <v/>
      </c>
      <c r="CX70" s="1310" t="str">
        <f t="shared" si="106"/>
        <v/>
      </c>
      <c r="CY70" s="1312">
        <f t="shared" si="107"/>
        <v>0</v>
      </c>
      <c r="CZ70" s="1312">
        <f t="shared" si="108"/>
        <v>0</v>
      </c>
      <c r="DA70" s="1312" t="str">
        <f t="shared" si="109"/>
        <v/>
      </c>
      <c r="DB70" s="1310" t="str">
        <f t="shared" si="173"/>
        <v/>
      </c>
      <c r="DC70" s="1310" t="str">
        <f t="shared" si="110"/>
        <v/>
      </c>
      <c r="DD70" s="875">
        <f t="shared" si="174"/>
        <v>0</v>
      </c>
      <c r="DE70" s="873">
        <f t="shared" si="111"/>
        <v>0</v>
      </c>
      <c r="DF70" s="874">
        <f t="shared" si="112"/>
        <v>0</v>
      </c>
      <c r="DG70" s="874" t="str">
        <f t="shared" si="113"/>
        <v/>
      </c>
      <c r="DH70" s="1310" t="str">
        <f t="shared" si="175"/>
        <v/>
      </c>
      <c r="DI70" s="1310" t="str">
        <f t="shared" si="114"/>
        <v/>
      </c>
      <c r="DJ70" s="1311">
        <f t="shared" si="176"/>
        <v>0</v>
      </c>
      <c r="DK70" s="1310" t="str">
        <f t="shared" si="115"/>
        <v/>
      </c>
      <c r="DL70" s="1310" t="str">
        <f t="shared" si="116"/>
        <v/>
      </c>
      <c r="DM70" s="1310" t="str">
        <f t="shared" si="117"/>
        <v/>
      </c>
      <c r="DN70" s="1310" t="str">
        <f t="shared" si="118"/>
        <v/>
      </c>
      <c r="DO70" s="889" t="str">
        <f t="shared" si="119"/>
        <v>ERR</v>
      </c>
      <c r="DP70" s="889" t="str">
        <f t="shared" si="120"/>
        <v>ERR</v>
      </c>
      <c r="DQ70" s="1310" t="str">
        <f t="shared" si="121"/>
        <v/>
      </c>
      <c r="DR70" s="1310" t="str">
        <f t="shared" si="121"/>
        <v/>
      </c>
      <c r="DS70" s="1310" t="str">
        <f t="shared" si="122"/>
        <v/>
      </c>
      <c r="DT70" s="1310" t="str">
        <f t="shared" si="123"/>
        <v/>
      </c>
      <c r="DU70" s="1310" t="str">
        <f t="shared" si="124"/>
        <v/>
      </c>
      <c r="DV70" s="889" t="str">
        <f t="shared" si="125"/>
        <v>ERR</v>
      </c>
      <c r="DW70" s="889" t="str">
        <f t="shared" si="126"/>
        <v>ERR</v>
      </c>
      <c r="DX70" s="873" t="str">
        <f t="shared" si="127"/>
        <v/>
      </c>
      <c r="DY70" s="873" t="str">
        <f t="shared" si="127"/>
        <v/>
      </c>
      <c r="DZ70" s="873" t="str">
        <f t="shared" si="128"/>
        <v/>
      </c>
      <c r="EA70" s="873" t="str">
        <f t="shared" si="129"/>
        <v/>
      </c>
      <c r="EB70" s="876" t="str">
        <f t="shared" si="130"/>
        <v/>
      </c>
      <c r="EC70" s="877" t="str">
        <f t="shared" si="131"/>
        <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t="str">
        <f t="shared" si="143"/>
        <v/>
      </c>
      <c r="EP70" s="874">
        <f t="shared" si="144"/>
        <v>0</v>
      </c>
      <c r="EQ70" s="874">
        <f t="shared" si="145"/>
        <v>0</v>
      </c>
      <c r="ER70" s="874">
        <f t="shared" si="146"/>
        <v>0</v>
      </c>
      <c r="ES70" s="874" t="str">
        <f t="shared" si="147"/>
        <v/>
      </c>
      <c r="ET70" s="873" t="str">
        <f t="shared" si="148"/>
        <v/>
      </c>
      <c r="EU70" s="873">
        <f t="shared" si="149"/>
        <v>0</v>
      </c>
      <c r="EV70" s="876" t="e">
        <f t="shared" si="150"/>
        <v>#VALUE!</v>
      </c>
      <c r="EW70" s="876" t="e">
        <f t="shared" si="151"/>
        <v>#VALUE!</v>
      </c>
      <c r="EX70" s="878" t="str">
        <f t="shared" si="152"/>
        <v/>
      </c>
      <c r="EY70" s="879" t="e">
        <f t="shared" si="153"/>
        <v>#DIV/0!</v>
      </c>
      <c r="EZ70" s="959" t="e">
        <f t="shared" si="154"/>
        <v>#DIV/0!</v>
      </c>
      <c r="FA70" s="960" t="e">
        <f t="shared" si="155"/>
        <v>#DIV/0!</v>
      </c>
      <c r="FB70" s="880" t="str">
        <f t="shared" si="156"/>
        <v/>
      </c>
      <c r="FC70" s="881" t="str">
        <f t="shared" si="157"/>
        <v/>
      </c>
      <c r="FD70" s="890">
        <f t="shared" si="158"/>
        <v>0</v>
      </c>
      <c r="FE70" s="833">
        <f t="shared" si="159"/>
        <v>0</v>
      </c>
      <c r="FF70" s="755" t="b">
        <f t="shared" si="160"/>
        <v>0</v>
      </c>
      <c r="FG70" s="755" t="b">
        <f t="shared" si="161"/>
        <v>0</v>
      </c>
      <c r="FH70" s="755" t="b">
        <f t="shared" si="162"/>
        <v>0</v>
      </c>
      <c r="FI70" s="755" t="b">
        <f t="shared" si="163"/>
        <v>0</v>
      </c>
      <c r="FJ70" s="920" t="str">
        <f t="shared" si="177"/>
        <v/>
      </c>
      <c r="FK70" s="919" t="str">
        <f t="shared" si="178"/>
        <v/>
      </c>
      <c r="FL70" s="320" t="e">
        <f t="shared" si="179"/>
        <v>#N/A</v>
      </c>
      <c r="FM70" s="312" t="str">
        <f t="shared" si="164"/>
        <v/>
      </c>
      <c r="FN70" s="272" t="str">
        <f t="shared" ca="1" si="180"/>
        <v/>
      </c>
      <c r="FO70" s="273" t="str">
        <f t="shared" ca="1" si="181"/>
        <v/>
      </c>
      <c r="FP70" s="274" t="str">
        <f t="shared" ca="1" si="182"/>
        <v/>
      </c>
      <c r="FQ70" s="274" t="str">
        <f t="shared" ca="1" si="183"/>
        <v/>
      </c>
      <c r="FR70" s="321">
        <f t="shared" ca="1" si="184"/>
        <v>0</v>
      </c>
      <c r="FS70" s="322">
        <f t="shared" ca="1" si="185"/>
        <v>0</v>
      </c>
      <c r="FT70" s="272" t="str">
        <f t="shared" ca="1" si="186"/>
        <v/>
      </c>
      <c r="FU70" s="275" t="str">
        <f t="shared" ca="1" si="187"/>
        <v/>
      </c>
      <c r="FV70" s="323" t="str">
        <f t="shared" ca="1" si="165"/>
        <v/>
      </c>
      <c r="FW70" s="276" t="str">
        <f t="shared" ca="1" si="188"/>
        <v/>
      </c>
      <c r="FX70" s="276" t="str">
        <f t="shared" ca="1" si="189"/>
        <v/>
      </c>
      <c r="FY70" s="276" t="str">
        <f t="shared" ca="1" si="190"/>
        <v/>
      </c>
      <c r="FZ70" s="276" t="str">
        <f t="shared" ca="1" si="191"/>
        <v/>
      </c>
      <c r="GA70" s="276" t="str">
        <f t="shared" ca="1" si="192"/>
        <v/>
      </c>
      <c r="GB70" s="277" t="str">
        <f ca="1">IF(FY70="","",2+SUM(FO70:OFFSET(FO70,(FU70-1)*-1,0)))</f>
        <v/>
      </c>
      <c r="GC70" s="316" t="e">
        <f t="shared" si="193"/>
        <v>#N/A</v>
      </c>
      <c r="GD70" s="324" t="str">
        <f t="shared" si="166"/>
        <v/>
      </c>
      <c r="GE70" s="325" t="str">
        <f t="shared" si="167"/>
        <v/>
      </c>
      <c r="GF70" s="278" t="str">
        <f t="shared" si="168"/>
        <v/>
      </c>
      <c r="GG70" s="279" t="str">
        <f t="shared" si="169"/>
        <v/>
      </c>
      <c r="GH70" s="279" t="str">
        <f t="shared" si="170"/>
        <v/>
      </c>
      <c r="GI70" s="280" t="str">
        <f t="shared" si="171"/>
        <v/>
      </c>
      <c r="GJ70" s="530">
        <f t="shared" ca="1" si="172"/>
        <v>0</v>
      </c>
      <c r="GK70" s="895" t="str">
        <f t="shared" ca="1" si="194"/>
        <v/>
      </c>
    </row>
    <row r="71" spans="78:193" ht="12.6" hidden="1" customHeight="1" x14ac:dyDescent="0.2">
      <c r="BZ71" s="293"/>
      <c r="CA71" s="293"/>
      <c r="CB71" s="365" t="str">
        <f t="shared" si="100"/>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1"/>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2"/>
        <v>0</v>
      </c>
      <c r="CU71" s="1316">
        <f t="shared" si="103"/>
        <v>0</v>
      </c>
      <c r="CV71" s="1310" t="str">
        <f t="shared" si="104"/>
        <v/>
      </c>
      <c r="CW71" s="1310" t="str">
        <f t="shared" si="105"/>
        <v/>
      </c>
      <c r="CX71" s="1310" t="str">
        <f t="shared" si="106"/>
        <v/>
      </c>
      <c r="CY71" s="1312">
        <f t="shared" si="107"/>
        <v>0</v>
      </c>
      <c r="CZ71" s="1312">
        <f t="shared" si="108"/>
        <v>0</v>
      </c>
      <c r="DA71" s="1312" t="str">
        <f t="shared" si="109"/>
        <v/>
      </c>
      <c r="DB71" s="1310" t="str">
        <f t="shared" si="173"/>
        <v/>
      </c>
      <c r="DC71" s="1310" t="str">
        <f t="shared" si="110"/>
        <v/>
      </c>
      <c r="DD71" s="875">
        <f t="shared" si="174"/>
        <v>0</v>
      </c>
      <c r="DE71" s="873">
        <f t="shared" si="111"/>
        <v>0</v>
      </c>
      <c r="DF71" s="874">
        <f t="shared" si="112"/>
        <v>0</v>
      </c>
      <c r="DG71" s="874" t="str">
        <f t="shared" si="113"/>
        <v/>
      </c>
      <c r="DH71" s="1310" t="str">
        <f t="shared" si="175"/>
        <v/>
      </c>
      <c r="DI71" s="1310" t="str">
        <f t="shared" si="114"/>
        <v/>
      </c>
      <c r="DJ71" s="1311">
        <f t="shared" si="176"/>
        <v>0</v>
      </c>
      <c r="DK71" s="1310" t="str">
        <f t="shared" si="115"/>
        <v/>
      </c>
      <c r="DL71" s="1310" t="str">
        <f t="shared" si="116"/>
        <v/>
      </c>
      <c r="DM71" s="1310" t="str">
        <f t="shared" si="117"/>
        <v/>
      </c>
      <c r="DN71" s="1310" t="str">
        <f t="shared" si="118"/>
        <v/>
      </c>
      <c r="DO71" s="889" t="str">
        <f t="shared" si="119"/>
        <v>ERR</v>
      </c>
      <c r="DP71" s="889" t="str">
        <f t="shared" si="120"/>
        <v>ERR</v>
      </c>
      <c r="DQ71" s="1310" t="str">
        <f t="shared" si="121"/>
        <v/>
      </c>
      <c r="DR71" s="1310" t="str">
        <f t="shared" si="121"/>
        <v/>
      </c>
      <c r="DS71" s="1310" t="str">
        <f t="shared" si="122"/>
        <v/>
      </c>
      <c r="DT71" s="1310" t="str">
        <f t="shared" si="123"/>
        <v/>
      </c>
      <c r="DU71" s="1310" t="str">
        <f t="shared" si="124"/>
        <v/>
      </c>
      <c r="DV71" s="889" t="str">
        <f t="shared" si="125"/>
        <v>ERR</v>
      </c>
      <c r="DW71" s="889" t="str">
        <f t="shared" si="126"/>
        <v>ERR</v>
      </c>
      <c r="DX71" s="873" t="str">
        <f t="shared" si="127"/>
        <v/>
      </c>
      <c r="DY71" s="873" t="str">
        <f t="shared" si="127"/>
        <v/>
      </c>
      <c r="DZ71" s="873" t="str">
        <f t="shared" si="128"/>
        <v/>
      </c>
      <c r="EA71" s="873" t="str">
        <f t="shared" si="129"/>
        <v/>
      </c>
      <c r="EB71" s="876" t="str">
        <f t="shared" si="130"/>
        <v/>
      </c>
      <c r="EC71" s="877" t="str">
        <f t="shared" si="131"/>
        <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t="str">
        <f t="shared" si="143"/>
        <v/>
      </c>
      <c r="EP71" s="874">
        <f t="shared" si="144"/>
        <v>0</v>
      </c>
      <c r="EQ71" s="874">
        <f t="shared" si="145"/>
        <v>0</v>
      </c>
      <c r="ER71" s="874">
        <f t="shared" si="146"/>
        <v>0</v>
      </c>
      <c r="ES71" s="874" t="str">
        <f t="shared" si="147"/>
        <v/>
      </c>
      <c r="ET71" s="873" t="str">
        <f t="shared" si="148"/>
        <v/>
      </c>
      <c r="EU71" s="873">
        <f t="shared" si="149"/>
        <v>0</v>
      </c>
      <c r="EV71" s="876" t="e">
        <f t="shared" si="150"/>
        <v>#VALUE!</v>
      </c>
      <c r="EW71" s="876" t="e">
        <f t="shared" si="151"/>
        <v>#VALUE!</v>
      </c>
      <c r="EX71" s="878" t="str">
        <f t="shared" si="152"/>
        <v/>
      </c>
      <c r="EY71" s="879" t="e">
        <f t="shared" si="153"/>
        <v>#DIV/0!</v>
      </c>
      <c r="EZ71" s="959" t="e">
        <f t="shared" si="154"/>
        <v>#DIV/0!</v>
      </c>
      <c r="FA71" s="960" t="e">
        <f t="shared" si="155"/>
        <v>#DIV/0!</v>
      </c>
      <c r="FB71" s="880" t="str">
        <f t="shared" si="156"/>
        <v/>
      </c>
      <c r="FC71" s="881" t="str">
        <f t="shared" si="157"/>
        <v/>
      </c>
      <c r="FD71" s="890">
        <f t="shared" si="158"/>
        <v>0</v>
      </c>
      <c r="FE71" s="833">
        <f t="shared" si="159"/>
        <v>0</v>
      </c>
      <c r="FF71" s="755" t="b">
        <f t="shared" si="160"/>
        <v>0</v>
      </c>
      <c r="FG71" s="755" t="b">
        <f t="shared" si="161"/>
        <v>0</v>
      </c>
      <c r="FH71" s="755" t="b">
        <f t="shared" si="162"/>
        <v>0</v>
      </c>
      <c r="FI71" s="755" t="b">
        <f t="shared" si="163"/>
        <v>0</v>
      </c>
      <c r="FJ71" s="920" t="str">
        <f t="shared" si="177"/>
        <v/>
      </c>
      <c r="FK71" s="919" t="str">
        <f t="shared" si="178"/>
        <v/>
      </c>
      <c r="FL71" s="320" t="e">
        <f t="shared" si="179"/>
        <v>#N/A</v>
      </c>
      <c r="FM71" s="312" t="str">
        <f t="shared" si="164"/>
        <v/>
      </c>
      <c r="FN71" s="272" t="str">
        <f t="shared" ca="1" si="180"/>
        <v/>
      </c>
      <c r="FO71" s="273" t="str">
        <f t="shared" ca="1" si="181"/>
        <v/>
      </c>
      <c r="FP71" s="274" t="str">
        <f t="shared" ca="1" si="182"/>
        <v/>
      </c>
      <c r="FQ71" s="274" t="str">
        <f t="shared" ca="1" si="183"/>
        <v/>
      </c>
      <c r="FR71" s="321">
        <f t="shared" ca="1" si="184"/>
        <v>0</v>
      </c>
      <c r="FS71" s="322">
        <f t="shared" ca="1" si="185"/>
        <v>0</v>
      </c>
      <c r="FT71" s="272" t="str">
        <f t="shared" ca="1" si="186"/>
        <v/>
      </c>
      <c r="FU71" s="275" t="str">
        <f t="shared" ca="1" si="187"/>
        <v/>
      </c>
      <c r="FV71" s="323" t="str">
        <f t="shared" ca="1" si="165"/>
        <v/>
      </c>
      <c r="FW71" s="276" t="str">
        <f t="shared" ca="1" si="188"/>
        <v/>
      </c>
      <c r="FX71" s="276" t="str">
        <f t="shared" ca="1" si="189"/>
        <v/>
      </c>
      <c r="FY71" s="276" t="str">
        <f t="shared" ca="1" si="190"/>
        <v/>
      </c>
      <c r="FZ71" s="276" t="str">
        <f t="shared" ca="1" si="191"/>
        <v/>
      </c>
      <c r="GA71" s="276" t="str">
        <f t="shared" ca="1" si="192"/>
        <v/>
      </c>
      <c r="GB71" s="277" t="str">
        <f ca="1">IF(FY71="","",2+SUM(FO71:OFFSET(FO71,(FU71-1)*-1,0)))</f>
        <v/>
      </c>
      <c r="GC71" s="316" t="e">
        <f t="shared" si="193"/>
        <v>#N/A</v>
      </c>
      <c r="GD71" s="324" t="str">
        <f t="shared" si="166"/>
        <v/>
      </c>
      <c r="GE71" s="325" t="str">
        <f t="shared" si="167"/>
        <v/>
      </c>
      <c r="GF71" s="278" t="str">
        <f t="shared" si="168"/>
        <v/>
      </c>
      <c r="GG71" s="279" t="str">
        <f t="shared" si="169"/>
        <v/>
      </c>
      <c r="GH71" s="279" t="str">
        <f t="shared" si="170"/>
        <v/>
      </c>
      <c r="GI71" s="280" t="str">
        <f t="shared" si="171"/>
        <v/>
      </c>
      <c r="GJ71" s="530">
        <f t="shared" ca="1" si="172"/>
        <v>0</v>
      </c>
      <c r="GK71" s="895" t="str">
        <f t="shared" ca="1" si="194"/>
        <v/>
      </c>
    </row>
    <row r="72" spans="78:193" ht="12.6" hidden="1" customHeight="1" x14ac:dyDescent="0.2">
      <c r="BZ72" s="293"/>
      <c r="CA72" s="293"/>
      <c r="CB72" s="365" t="str">
        <f t="shared" si="100"/>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1"/>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2"/>
        <v>0</v>
      </c>
      <c r="CU72" s="1316">
        <f t="shared" si="103"/>
        <v>0</v>
      </c>
      <c r="CV72" s="1310" t="str">
        <f t="shared" si="104"/>
        <v/>
      </c>
      <c r="CW72" s="1310" t="str">
        <f t="shared" si="105"/>
        <v/>
      </c>
      <c r="CX72" s="1310" t="str">
        <f t="shared" si="106"/>
        <v/>
      </c>
      <c r="CY72" s="1312">
        <f t="shared" si="107"/>
        <v>0</v>
      </c>
      <c r="CZ72" s="1312">
        <f t="shared" si="108"/>
        <v>0</v>
      </c>
      <c r="DA72" s="1312" t="str">
        <f t="shared" si="109"/>
        <v/>
      </c>
      <c r="DB72" s="1310" t="str">
        <f t="shared" si="173"/>
        <v/>
      </c>
      <c r="DC72" s="1310" t="str">
        <f t="shared" si="110"/>
        <v/>
      </c>
      <c r="DD72" s="875">
        <f t="shared" si="174"/>
        <v>0</v>
      </c>
      <c r="DE72" s="873">
        <f t="shared" si="111"/>
        <v>0</v>
      </c>
      <c r="DF72" s="874">
        <f t="shared" si="112"/>
        <v>0</v>
      </c>
      <c r="DG72" s="874" t="str">
        <f t="shared" si="113"/>
        <v/>
      </c>
      <c r="DH72" s="1310" t="str">
        <f t="shared" si="175"/>
        <v/>
      </c>
      <c r="DI72" s="1310" t="str">
        <f t="shared" si="114"/>
        <v/>
      </c>
      <c r="DJ72" s="1311">
        <f t="shared" si="176"/>
        <v>0</v>
      </c>
      <c r="DK72" s="1310" t="str">
        <f t="shared" si="115"/>
        <v/>
      </c>
      <c r="DL72" s="1310" t="str">
        <f t="shared" si="116"/>
        <v/>
      </c>
      <c r="DM72" s="1310" t="str">
        <f t="shared" si="117"/>
        <v/>
      </c>
      <c r="DN72" s="1310" t="str">
        <f t="shared" si="118"/>
        <v/>
      </c>
      <c r="DO72" s="889" t="str">
        <f t="shared" si="119"/>
        <v>ERR</v>
      </c>
      <c r="DP72" s="889" t="str">
        <f t="shared" si="120"/>
        <v>ERR</v>
      </c>
      <c r="DQ72" s="1310" t="str">
        <f t="shared" si="121"/>
        <v/>
      </c>
      <c r="DR72" s="1310" t="str">
        <f t="shared" si="121"/>
        <v/>
      </c>
      <c r="DS72" s="1310" t="str">
        <f t="shared" si="122"/>
        <v/>
      </c>
      <c r="DT72" s="1310" t="str">
        <f t="shared" si="123"/>
        <v/>
      </c>
      <c r="DU72" s="1310" t="str">
        <f t="shared" si="124"/>
        <v/>
      </c>
      <c r="DV72" s="889" t="str">
        <f t="shared" si="125"/>
        <v>ERR</v>
      </c>
      <c r="DW72" s="889" t="str">
        <f t="shared" si="126"/>
        <v>ERR</v>
      </c>
      <c r="DX72" s="873" t="str">
        <f t="shared" si="127"/>
        <v/>
      </c>
      <c r="DY72" s="873" t="str">
        <f t="shared" si="127"/>
        <v/>
      </c>
      <c r="DZ72" s="873" t="str">
        <f t="shared" si="128"/>
        <v/>
      </c>
      <c r="EA72" s="873" t="str">
        <f t="shared" si="129"/>
        <v/>
      </c>
      <c r="EB72" s="876" t="str">
        <f t="shared" si="130"/>
        <v/>
      </c>
      <c r="EC72" s="877" t="str">
        <f t="shared" si="131"/>
        <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t="str">
        <f t="shared" si="143"/>
        <v/>
      </c>
      <c r="EP72" s="874">
        <f t="shared" si="144"/>
        <v>0</v>
      </c>
      <c r="EQ72" s="874">
        <f t="shared" si="145"/>
        <v>0</v>
      </c>
      <c r="ER72" s="874">
        <f t="shared" si="146"/>
        <v>0</v>
      </c>
      <c r="ES72" s="874" t="str">
        <f t="shared" si="147"/>
        <v/>
      </c>
      <c r="ET72" s="873" t="str">
        <f t="shared" si="148"/>
        <v/>
      </c>
      <c r="EU72" s="873">
        <f t="shared" si="149"/>
        <v>0</v>
      </c>
      <c r="EV72" s="876" t="e">
        <f t="shared" si="150"/>
        <v>#VALUE!</v>
      </c>
      <c r="EW72" s="876" t="e">
        <f t="shared" si="151"/>
        <v>#VALUE!</v>
      </c>
      <c r="EX72" s="878" t="str">
        <f t="shared" si="152"/>
        <v/>
      </c>
      <c r="EY72" s="879" t="e">
        <f t="shared" si="153"/>
        <v>#DIV/0!</v>
      </c>
      <c r="EZ72" s="959" t="e">
        <f t="shared" si="154"/>
        <v>#DIV/0!</v>
      </c>
      <c r="FA72" s="960" t="e">
        <f t="shared" si="155"/>
        <v>#DIV/0!</v>
      </c>
      <c r="FB72" s="880" t="str">
        <f t="shared" si="156"/>
        <v/>
      </c>
      <c r="FC72" s="881" t="str">
        <f t="shared" si="157"/>
        <v/>
      </c>
      <c r="FD72" s="890">
        <f t="shared" si="158"/>
        <v>0</v>
      </c>
      <c r="FE72" s="833">
        <f t="shared" si="159"/>
        <v>0</v>
      </c>
      <c r="FF72" s="754" t="b">
        <f t="shared" si="160"/>
        <v>0</v>
      </c>
      <c r="FG72" s="754" t="b">
        <f t="shared" si="161"/>
        <v>0</v>
      </c>
      <c r="FH72" s="754" t="b">
        <f t="shared" si="162"/>
        <v>0</v>
      </c>
      <c r="FI72" s="754" t="b">
        <f t="shared" si="163"/>
        <v>0</v>
      </c>
      <c r="FJ72" s="920" t="str">
        <f t="shared" si="177"/>
        <v/>
      </c>
      <c r="FK72" s="919" t="str">
        <f t="shared" si="178"/>
        <v/>
      </c>
      <c r="FL72" s="320" t="e">
        <f t="shared" si="179"/>
        <v>#N/A</v>
      </c>
      <c r="FM72" s="312" t="str">
        <f t="shared" si="164"/>
        <v/>
      </c>
      <c r="FN72" s="272" t="str">
        <f t="shared" ca="1" si="180"/>
        <v/>
      </c>
      <c r="FO72" s="273" t="str">
        <f t="shared" ca="1" si="181"/>
        <v/>
      </c>
      <c r="FP72" s="274" t="str">
        <f t="shared" ca="1" si="182"/>
        <v/>
      </c>
      <c r="FQ72" s="274" t="str">
        <f t="shared" ca="1" si="183"/>
        <v/>
      </c>
      <c r="FR72" s="321">
        <f t="shared" ca="1" si="184"/>
        <v>0</v>
      </c>
      <c r="FS72" s="322">
        <f t="shared" ca="1" si="185"/>
        <v>0</v>
      </c>
      <c r="FT72" s="272" t="str">
        <f t="shared" ca="1" si="186"/>
        <v/>
      </c>
      <c r="FU72" s="275" t="str">
        <f t="shared" ca="1" si="187"/>
        <v/>
      </c>
      <c r="FV72" s="323" t="str">
        <f t="shared" ca="1" si="165"/>
        <v/>
      </c>
      <c r="FW72" s="276" t="str">
        <f t="shared" ca="1" si="188"/>
        <v/>
      </c>
      <c r="FX72" s="276" t="str">
        <f t="shared" ca="1" si="189"/>
        <v/>
      </c>
      <c r="FY72" s="276" t="str">
        <f t="shared" ca="1" si="190"/>
        <v/>
      </c>
      <c r="FZ72" s="276" t="str">
        <f t="shared" ca="1" si="191"/>
        <v/>
      </c>
      <c r="GA72" s="276" t="str">
        <f t="shared" ca="1" si="192"/>
        <v/>
      </c>
      <c r="GB72" s="277" t="str">
        <f ca="1">IF(FY72="","",2+SUM(FO72:OFFSET(FO72,(FU72-1)*-1,0)))</f>
        <v/>
      </c>
      <c r="GC72" s="316" t="e">
        <f t="shared" si="193"/>
        <v>#N/A</v>
      </c>
      <c r="GD72" s="324" t="str">
        <f t="shared" si="166"/>
        <v/>
      </c>
      <c r="GE72" s="325" t="str">
        <f t="shared" si="167"/>
        <v/>
      </c>
      <c r="GF72" s="278" t="str">
        <f t="shared" si="168"/>
        <v/>
      </c>
      <c r="GG72" s="279" t="str">
        <f t="shared" si="169"/>
        <v/>
      </c>
      <c r="GH72" s="279" t="str">
        <f t="shared" si="170"/>
        <v/>
      </c>
      <c r="GI72" s="280" t="str">
        <f t="shared" si="171"/>
        <v/>
      </c>
      <c r="GJ72" s="530">
        <f t="shared" ca="1" si="172"/>
        <v>0</v>
      </c>
      <c r="GK72" s="895" t="str">
        <f t="shared" ca="1" si="194"/>
        <v/>
      </c>
    </row>
    <row r="73" spans="78:193" ht="12.6" hidden="1" customHeight="1" x14ac:dyDescent="0.2">
      <c r="BZ73" s="293"/>
      <c r="CA73" s="293"/>
      <c r="CB73" s="365" t="str">
        <f t="shared" si="100"/>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1"/>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2"/>
        <v>0</v>
      </c>
      <c r="CU73" s="1316">
        <f t="shared" si="103"/>
        <v>0</v>
      </c>
      <c r="CV73" s="1310" t="str">
        <f t="shared" si="104"/>
        <v/>
      </c>
      <c r="CW73" s="1310" t="str">
        <f t="shared" si="105"/>
        <v/>
      </c>
      <c r="CX73" s="1310" t="str">
        <f t="shared" si="106"/>
        <v/>
      </c>
      <c r="CY73" s="1312">
        <f t="shared" si="107"/>
        <v>0</v>
      </c>
      <c r="CZ73" s="1312">
        <f t="shared" si="108"/>
        <v>0</v>
      </c>
      <c r="DA73" s="1312" t="str">
        <f t="shared" si="109"/>
        <v/>
      </c>
      <c r="DB73" s="1310" t="str">
        <f t="shared" si="173"/>
        <v/>
      </c>
      <c r="DC73" s="1310" t="str">
        <f t="shared" si="110"/>
        <v/>
      </c>
      <c r="DD73" s="875">
        <f t="shared" si="174"/>
        <v>0</v>
      </c>
      <c r="DE73" s="873">
        <f t="shared" si="111"/>
        <v>0</v>
      </c>
      <c r="DF73" s="874">
        <f t="shared" si="112"/>
        <v>0</v>
      </c>
      <c r="DG73" s="874" t="str">
        <f t="shared" si="113"/>
        <v/>
      </c>
      <c r="DH73" s="1310" t="str">
        <f t="shared" si="175"/>
        <v/>
      </c>
      <c r="DI73" s="1310" t="str">
        <f t="shared" si="114"/>
        <v/>
      </c>
      <c r="DJ73" s="1311">
        <f t="shared" si="176"/>
        <v>0</v>
      </c>
      <c r="DK73" s="1310" t="str">
        <f t="shared" si="115"/>
        <v/>
      </c>
      <c r="DL73" s="1310" t="str">
        <f t="shared" si="116"/>
        <v/>
      </c>
      <c r="DM73" s="1310" t="str">
        <f t="shared" si="117"/>
        <v/>
      </c>
      <c r="DN73" s="1310" t="str">
        <f t="shared" si="118"/>
        <v/>
      </c>
      <c r="DO73" s="889" t="str">
        <f t="shared" si="119"/>
        <v>ERR</v>
      </c>
      <c r="DP73" s="889" t="str">
        <f t="shared" si="120"/>
        <v>ERR</v>
      </c>
      <c r="DQ73" s="1310" t="str">
        <f t="shared" si="121"/>
        <v/>
      </c>
      <c r="DR73" s="1310" t="str">
        <f t="shared" si="121"/>
        <v/>
      </c>
      <c r="DS73" s="1310" t="str">
        <f t="shared" si="122"/>
        <v/>
      </c>
      <c r="DT73" s="1310" t="str">
        <f t="shared" si="123"/>
        <v/>
      </c>
      <c r="DU73" s="1310" t="str">
        <f t="shared" si="124"/>
        <v/>
      </c>
      <c r="DV73" s="889" t="str">
        <f t="shared" si="125"/>
        <v>ERR</v>
      </c>
      <c r="DW73" s="889" t="str">
        <f t="shared" si="126"/>
        <v>ERR</v>
      </c>
      <c r="DX73" s="873" t="str">
        <f t="shared" si="127"/>
        <v/>
      </c>
      <c r="DY73" s="873" t="str">
        <f t="shared" si="127"/>
        <v/>
      </c>
      <c r="DZ73" s="873" t="str">
        <f t="shared" si="128"/>
        <v/>
      </c>
      <c r="EA73" s="873" t="str">
        <f t="shared" si="129"/>
        <v/>
      </c>
      <c r="EB73" s="876" t="str">
        <f t="shared" si="130"/>
        <v/>
      </c>
      <c r="EC73" s="877" t="str">
        <f t="shared" si="131"/>
        <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t="str">
        <f t="shared" si="143"/>
        <v/>
      </c>
      <c r="EP73" s="874">
        <f t="shared" si="144"/>
        <v>0</v>
      </c>
      <c r="EQ73" s="874">
        <f t="shared" si="145"/>
        <v>0</v>
      </c>
      <c r="ER73" s="874">
        <f t="shared" si="146"/>
        <v>0</v>
      </c>
      <c r="ES73" s="874" t="str">
        <f t="shared" si="147"/>
        <v/>
      </c>
      <c r="ET73" s="873" t="str">
        <f t="shared" si="148"/>
        <v/>
      </c>
      <c r="EU73" s="873">
        <f t="shared" si="149"/>
        <v>0</v>
      </c>
      <c r="EV73" s="876" t="e">
        <f t="shared" si="150"/>
        <v>#VALUE!</v>
      </c>
      <c r="EW73" s="876" t="e">
        <f t="shared" si="151"/>
        <v>#VALUE!</v>
      </c>
      <c r="EX73" s="878" t="str">
        <f t="shared" si="152"/>
        <v/>
      </c>
      <c r="EY73" s="879" t="e">
        <f t="shared" si="153"/>
        <v>#DIV/0!</v>
      </c>
      <c r="EZ73" s="959" t="e">
        <f t="shared" si="154"/>
        <v>#DIV/0!</v>
      </c>
      <c r="FA73" s="960" t="e">
        <f t="shared" si="155"/>
        <v>#DIV/0!</v>
      </c>
      <c r="FB73" s="880" t="str">
        <f t="shared" si="156"/>
        <v/>
      </c>
      <c r="FC73" s="881" t="str">
        <f t="shared" si="157"/>
        <v/>
      </c>
      <c r="FD73" s="890">
        <f t="shared" si="158"/>
        <v>0</v>
      </c>
      <c r="FE73" s="833">
        <f t="shared" si="159"/>
        <v>0</v>
      </c>
      <c r="FF73" s="754" t="b">
        <f t="shared" si="160"/>
        <v>0</v>
      </c>
      <c r="FG73" s="754" t="b">
        <f t="shared" si="161"/>
        <v>0</v>
      </c>
      <c r="FH73" s="754" t="b">
        <f t="shared" si="162"/>
        <v>0</v>
      </c>
      <c r="FI73" s="754" t="b">
        <f t="shared" si="163"/>
        <v>0</v>
      </c>
      <c r="FJ73" s="920" t="str">
        <f t="shared" si="177"/>
        <v/>
      </c>
      <c r="FK73" s="919" t="str">
        <f t="shared" si="178"/>
        <v/>
      </c>
      <c r="FL73" s="320" t="e">
        <f t="shared" si="179"/>
        <v>#N/A</v>
      </c>
      <c r="FM73" s="312" t="str">
        <f t="shared" si="164"/>
        <v/>
      </c>
      <c r="FN73" s="272" t="str">
        <f t="shared" ca="1" si="180"/>
        <v/>
      </c>
      <c r="FO73" s="273" t="str">
        <f t="shared" ca="1" si="181"/>
        <v/>
      </c>
      <c r="FP73" s="274" t="str">
        <f t="shared" ca="1" si="182"/>
        <v/>
      </c>
      <c r="FQ73" s="274" t="str">
        <f t="shared" ca="1" si="183"/>
        <v/>
      </c>
      <c r="FR73" s="321">
        <f t="shared" ca="1" si="184"/>
        <v>0</v>
      </c>
      <c r="FS73" s="322">
        <f t="shared" ca="1" si="185"/>
        <v>0</v>
      </c>
      <c r="FT73" s="272" t="str">
        <f t="shared" ca="1" si="186"/>
        <v/>
      </c>
      <c r="FU73" s="275" t="str">
        <f t="shared" ca="1" si="187"/>
        <v/>
      </c>
      <c r="FV73" s="323" t="str">
        <f t="shared" ca="1" si="165"/>
        <v/>
      </c>
      <c r="FW73" s="276" t="str">
        <f t="shared" ca="1" si="188"/>
        <v/>
      </c>
      <c r="FX73" s="276" t="str">
        <f t="shared" ca="1" si="189"/>
        <v/>
      </c>
      <c r="FY73" s="276" t="str">
        <f t="shared" ca="1" si="190"/>
        <v/>
      </c>
      <c r="FZ73" s="276" t="str">
        <f t="shared" ca="1" si="191"/>
        <v/>
      </c>
      <c r="GA73" s="276" t="str">
        <f t="shared" ca="1" si="192"/>
        <v/>
      </c>
      <c r="GB73" s="277" t="str">
        <f ca="1">IF(FY73="","",2+SUM(FO73:OFFSET(FO73,(FU73-1)*-1,0)))</f>
        <v/>
      </c>
      <c r="GC73" s="316" t="e">
        <f t="shared" si="193"/>
        <v>#N/A</v>
      </c>
      <c r="GD73" s="324" t="str">
        <f t="shared" si="166"/>
        <v/>
      </c>
      <c r="GE73" s="325" t="str">
        <f t="shared" si="167"/>
        <v/>
      </c>
      <c r="GF73" s="278" t="str">
        <f t="shared" si="168"/>
        <v/>
      </c>
      <c r="GG73" s="279" t="str">
        <f t="shared" si="169"/>
        <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1"/>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2"/>
        <v>0</v>
      </c>
      <c r="CU74" s="1316">
        <f t="shared" si="103"/>
        <v>0</v>
      </c>
      <c r="CV74" s="1310" t="str">
        <f t="shared" si="104"/>
        <v/>
      </c>
      <c r="CW74" s="1310" t="str">
        <f t="shared" si="105"/>
        <v/>
      </c>
      <c r="CX74" s="1310" t="str">
        <f t="shared" si="106"/>
        <v/>
      </c>
      <c r="CY74" s="1312">
        <f t="shared" si="107"/>
        <v>0</v>
      </c>
      <c r="CZ74" s="1312">
        <f t="shared" si="108"/>
        <v>0</v>
      </c>
      <c r="DA74" s="1312" t="str">
        <f t="shared" si="109"/>
        <v/>
      </c>
      <c r="DB74" s="1310" t="str">
        <f t="shared" si="173"/>
        <v/>
      </c>
      <c r="DC74" s="1310" t="str">
        <f t="shared" si="110"/>
        <v/>
      </c>
      <c r="DD74" s="875">
        <f t="shared" si="174"/>
        <v>0</v>
      </c>
      <c r="DE74" s="873">
        <f t="shared" si="111"/>
        <v>0</v>
      </c>
      <c r="DF74" s="874">
        <f t="shared" si="112"/>
        <v>0</v>
      </c>
      <c r="DG74" s="874" t="str">
        <f t="shared" si="113"/>
        <v/>
      </c>
      <c r="DH74" s="1310" t="str">
        <f t="shared" si="175"/>
        <v/>
      </c>
      <c r="DI74" s="1310" t="str">
        <f t="shared" si="114"/>
        <v/>
      </c>
      <c r="DJ74" s="1311">
        <f t="shared" si="176"/>
        <v>0</v>
      </c>
      <c r="DK74" s="1310" t="str">
        <f t="shared" si="115"/>
        <v/>
      </c>
      <c r="DL74" s="1310" t="str">
        <f t="shared" si="116"/>
        <v/>
      </c>
      <c r="DM74" s="1310" t="str">
        <f t="shared" si="117"/>
        <v/>
      </c>
      <c r="DN74" s="1310" t="str">
        <f t="shared" si="118"/>
        <v/>
      </c>
      <c r="DO74" s="889" t="str">
        <f t="shared" si="119"/>
        <v>ERR</v>
      </c>
      <c r="DP74" s="889" t="str">
        <f t="shared" si="120"/>
        <v>ERR</v>
      </c>
      <c r="DQ74" s="1310" t="str">
        <f t="shared" si="121"/>
        <v/>
      </c>
      <c r="DR74" s="1310" t="str">
        <f t="shared" si="121"/>
        <v/>
      </c>
      <c r="DS74" s="1310" t="str">
        <f t="shared" si="122"/>
        <v/>
      </c>
      <c r="DT74" s="1310" t="str">
        <f t="shared" si="123"/>
        <v/>
      </c>
      <c r="DU74" s="1310" t="str">
        <f t="shared" si="124"/>
        <v/>
      </c>
      <c r="DV74" s="889" t="str">
        <f t="shared" si="125"/>
        <v>ERR</v>
      </c>
      <c r="DW74" s="889" t="str">
        <f t="shared" si="126"/>
        <v>ERR</v>
      </c>
      <c r="DX74" s="873" t="str">
        <f t="shared" si="127"/>
        <v/>
      </c>
      <c r="DY74" s="873" t="str">
        <f t="shared" si="127"/>
        <v/>
      </c>
      <c r="DZ74" s="873" t="str">
        <f t="shared" si="128"/>
        <v/>
      </c>
      <c r="EA74" s="873" t="str">
        <f t="shared" si="129"/>
        <v/>
      </c>
      <c r="EB74" s="876" t="str">
        <f t="shared" si="130"/>
        <v/>
      </c>
      <c r="EC74" s="877" t="str">
        <f t="shared" si="131"/>
        <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t="str">
        <f t="shared" si="143"/>
        <v/>
      </c>
      <c r="EP74" s="874">
        <f t="shared" si="144"/>
        <v>0</v>
      </c>
      <c r="EQ74" s="874">
        <f t="shared" si="145"/>
        <v>0</v>
      </c>
      <c r="ER74" s="874">
        <f t="shared" si="146"/>
        <v>0</v>
      </c>
      <c r="ES74" s="874" t="str">
        <f t="shared" si="147"/>
        <v/>
      </c>
      <c r="ET74" s="873" t="str">
        <f t="shared" si="148"/>
        <v/>
      </c>
      <c r="EU74" s="873">
        <f t="shared" si="149"/>
        <v>0</v>
      </c>
      <c r="EV74" s="876" t="e">
        <f t="shared" si="150"/>
        <v>#VALUE!</v>
      </c>
      <c r="EW74" s="876" t="e">
        <f t="shared" si="151"/>
        <v>#VALUE!</v>
      </c>
      <c r="EX74" s="878" t="str">
        <f t="shared" si="152"/>
        <v/>
      </c>
      <c r="EY74" s="879" t="e">
        <f t="shared" si="153"/>
        <v>#DIV/0!</v>
      </c>
      <c r="EZ74" s="959" t="e">
        <f t="shared" si="154"/>
        <v>#DIV/0!</v>
      </c>
      <c r="FA74" s="960" t="e">
        <f t="shared" si="155"/>
        <v>#DIV/0!</v>
      </c>
      <c r="FB74" s="880" t="str">
        <f t="shared" si="156"/>
        <v/>
      </c>
      <c r="FC74" s="881" t="str">
        <f t="shared" si="157"/>
        <v/>
      </c>
      <c r="FD74" s="890">
        <f t="shared" si="158"/>
        <v>0</v>
      </c>
      <c r="FE74" s="833">
        <f t="shared" si="159"/>
        <v>0</v>
      </c>
      <c r="FF74" s="754" t="b">
        <f t="shared" si="160"/>
        <v>0</v>
      </c>
      <c r="FG74" s="754" t="b">
        <f t="shared" si="161"/>
        <v>0</v>
      </c>
      <c r="FH74" s="754" t="b">
        <f t="shared" si="162"/>
        <v>0</v>
      </c>
      <c r="FI74" s="754" t="b">
        <f t="shared" si="163"/>
        <v>0</v>
      </c>
      <c r="FJ74" s="920" t="str">
        <f t="shared" si="177"/>
        <v/>
      </c>
      <c r="FK74" s="919" t="str">
        <f t="shared" si="178"/>
        <v/>
      </c>
      <c r="FL74" s="320" t="e">
        <f t="shared" si="179"/>
        <v>#N/A</v>
      </c>
      <c r="FM74" s="312" t="str">
        <f t="shared" si="164"/>
        <v/>
      </c>
      <c r="FN74" s="272" t="str">
        <f t="shared" ca="1" si="180"/>
        <v/>
      </c>
      <c r="FO74" s="273" t="str">
        <f t="shared" ca="1" si="181"/>
        <v/>
      </c>
      <c r="FP74" s="274" t="str">
        <f t="shared" ca="1" si="182"/>
        <v/>
      </c>
      <c r="FQ74" s="274" t="str">
        <f t="shared" ca="1" si="183"/>
        <v/>
      </c>
      <c r="FR74" s="321">
        <f t="shared" ca="1" si="184"/>
        <v>0</v>
      </c>
      <c r="FS74" s="322">
        <f t="shared" ca="1" si="185"/>
        <v>0</v>
      </c>
      <c r="FT74" s="272" t="str">
        <f t="shared" ca="1" si="186"/>
        <v/>
      </c>
      <c r="FU74" s="275" t="str">
        <f t="shared" ca="1" si="187"/>
        <v/>
      </c>
      <c r="FV74" s="323" t="str">
        <f t="shared" ca="1" si="165"/>
        <v/>
      </c>
      <c r="FW74" s="276" t="str">
        <f t="shared" ca="1" si="188"/>
        <v/>
      </c>
      <c r="FX74" s="276" t="str">
        <f t="shared" ca="1" si="189"/>
        <v/>
      </c>
      <c r="FY74" s="276" t="str">
        <f t="shared" ca="1" si="190"/>
        <v/>
      </c>
      <c r="FZ74" s="276" t="str">
        <f t="shared" ca="1" si="191"/>
        <v/>
      </c>
      <c r="GA74" s="276" t="str">
        <f t="shared" ca="1" si="192"/>
        <v/>
      </c>
      <c r="GB74" s="277" t="str">
        <f ca="1">IF(FY74="","",2+SUM(FO74:OFFSET(FO74,(FU74-1)*-1,0)))</f>
        <v/>
      </c>
      <c r="GC74" s="316" t="e">
        <f t="shared" si="193"/>
        <v>#N/A</v>
      </c>
      <c r="GD74" s="324" t="str">
        <f t="shared" si="166"/>
        <v/>
      </c>
      <c r="GE74" s="325" t="str">
        <f t="shared" si="167"/>
        <v/>
      </c>
      <c r="GF74" s="278" t="str">
        <f t="shared" si="168"/>
        <v/>
      </c>
      <c r="GG74" s="279" t="str">
        <f t="shared" si="169"/>
        <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1"/>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2"/>
        <v>0</v>
      </c>
      <c r="CU75" s="1316">
        <f t="shared" si="103"/>
        <v>0</v>
      </c>
      <c r="CV75" s="1310" t="str">
        <f t="shared" si="104"/>
        <v/>
      </c>
      <c r="CW75" s="1310" t="str">
        <f t="shared" si="105"/>
        <v/>
      </c>
      <c r="CX75" s="1310" t="str">
        <f t="shared" si="106"/>
        <v/>
      </c>
      <c r="CY75" s="1312">
        <f t="shared" si="107"/>
        <v>0</v>
      </c>
      <c r="CZ75" s="1312">
        <f t="shared" si="108"/>
        <v>0</v>
      </c>
      <c r="DA75" s="1312" t="str">
        <f t="shared" si="109"/>
        <v/>
      </c>
      <c r="DB75" s="1310" t="str">
        <f t="shared" si="173"/>
        <v/>
      </c>
      <c r="DC75" s="1310" t="str">
        <f t="shared" si="110"/>
        <v/>
      </c>
      <c r="DD75" s="875">
        <f t="shared" si="174"/>
        <v>0</v>
      </c>
      <c r="DE75" s="873">
        <f t="shared" si="111"/>
        <v>0</v>
      </c>
      <c r="DF75" s="874">
        <f t="shared" si="112"/>
        <v>0</v>
      </c>
      <c r="DG75" s="874" t="str">
        <f t="shared" si="113"/>
        <v/>
      </c>
      <c r="DH75" s="1310" t="str">
        <f t="shared" si="175"/>
        <v/>
      </c>
      <c r="DI75" s="1310" t="str">
        <f t="shared" si="114"/>
        <v/>
      </c>
      <c r="DJ75" s="1311">
        <f t="shared" si="176"/>
        <v>0</v>
      </c>
      <c r="DK75" s="1310" t="str">
        <f t="shared" si="115"/>
        <v/>
      </c>
      <c r="DL75" s="1310" t="str">
        <f t="shared" si="116"/>
        <v/>
      </c>
      <c r="DM75" s="1310" t="str">
        <f t="shared" si="117"/>
        <v/>
      </c>
      <c r="DN75" s="1310" t="str">
        <f t="shared" si="118"/>
        <v/>
      </c>
      <c r="DO75" s="889" t="str">
        <f t="shared" si="119"/>
        <v>ERR</v>
      </c>
      <c r="DP75" s="889" t="str">
        <f t="shared" si="120"/>
        <v>ERR</v>
      </c>
      <c r="DQ75" s="1310" t="str">
        <f t="shared" si="121"/>
        <v/>
      </c>
      <c r="DR75" s="1310" t="str">
        <f t="shared" si="121"/>
        <v/>
      </c>
      <c r="DS75" s="1310" t="str">
        <f t="shared" si="122"/>
        <v/>
      </c>
      <c r="DT75" s="1310" t="str">
        <f t="shared" si="123"/>
        <v/>
      </c>
      <c r="DU75" s="1310" t="str">
        <f t="shared" si="124"/>
        <v/>
      </c>
      <c r="DV75" s="889" t="str">
        <f t="shared" si="125"/>
        <v>ERR</v>
      </c>
      <c r="DW75" s="889" t="str">
        <f t="shared" si="126"/>
        <v>ERR</v>
      </c>
      <c r="DX75" s="873" t="str">
        <f t="shared" ref="DX75:DY85" si="195">IF(ISERROR(DT75),"ERR",IF(DT75="","",IF(DV75="ERR","ERR",CEILING(DV75-0.0625,0.125))))</f>
        <v/>
      </c>
      <c r="DY75" s="873" t="str">
        <f t="shared" si="195"/>
        <v/>
      </c>
      <c r="DZ75" s="873" t="str">
        <f t="shared" si="128"/>
        <v/>
      </c>
      <c r="EA75" s="873" t="str">
        <f t="shared" si="129"/>
        <v/>
      </c>
      <c r="EB75" s="876" t="str">
        <f t="shared" si="130"/>
        <v/>
      </c>
      <c r="EC75" s="877" t="str">
        <f t="shared" si="131"/>
        <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t="str">
        <f t="shared" si="143"/>
        <v/>
      </c>
      <c r="EP75" s="874">
        <f t="shared" si="144"/>
        <v>0</v>
      </c>
      <c r="EQ75" s="874">
        <f t="shared" si="145"/>
        <v>0</v>
      </c>
      <c r="ER75" s="874">
        <f t="shared" si="146"/>
        <v>0</v>
      </c>
      <c r="ES75" s="874" t="str">
        <f t="shared" si="147"/>
        <v/>
      </c>
      <c r="ET75" s="873" t="str">
        <f t="shared" si="148"/>
        <v/>
      </c>
      <c r="EU75" s="873">
        <f t="shared" si="149"/>
        <v>0</v>
      </c>
      <c r="EV75" s="876" t="e">
        <f t="shared" si="150"/>
        <v>#VALUE!</v>
      </c>
      <c r="EW75" s="876" t="e">
        <f t="shared" si="151"/>
        <v>#VALUE!</v>
      </c>
      <c r="EX75" s="878" t="str">
        <f t="shared" si="152"/>
        <v/>
      </c>
      <c r="EY75" s="879" t="e">
        <f t="shared" si="153"/>
        <v>#DIV/0!</v>
      </c>
      <c r="EZ75" s="959" t="e">
        <f t="shared" si="154"/>
        <v>#DIV/0!</v>
      </c>
      <c r="FA75" s="960" t="e">
        <f t="shared" si="155"/>
        <v>#DIV/0!</v>
      </c>
      <c r="FB75" s="880" t="str">
        <f t="shared" si="156"/>
        <v/>
      </c>
      <c r="FC75" s="881" t="str">
        <f t="shared" si="157"/>
        <v/>
      </c>
      <c r="FD75" s="890">
        <f t="shared" si="158"/>
        <v>0</v>
      </c>
      <c r="FE75" s="833">
        <f t="shared" si="159"/>
        <v>0</v>
      </c>
      <c r="FF75" s="754" t="b">
        <f t="shared" si="160"/>
        <v>0</v>
      </c>
      <c r="FG75" s="754" t="b">
        <f t="shared" si="161"/>
        <v>0</v>
      </c>
      <c r="FH75" s="754" t="b">
        <f t="shared" si="162"/>
        <v>0</v>
      </c>
      <c r="FI75" s="754" t="b">
        <f t="shared" si="163"/>
        <v>0</v>
      </c>
      <c r="FJ75" s="920" t="str">
        <f t="shared" si="177"/>
        <v/>
      </c>
      <c r="FK75" s="919" t="str">
        <f t="shared" si="178"/>
        <v/>
      </c>
      <c r="FL75" s="320" t="e">
        <f t="shared" si="179"/>
        <v>#N/A</v>
      </c>
      <c r="FM75" s="312" t="str">
        <f t="shared" si="164"/>
        <v/>
      </c>
      <c r="FN75" s="272" t="str">
        <f t="shared" ca="1" si="180"/>
        <v/>
      </c>
      <c r="FO75" s="273" t="str">
        <f t="shared" ca="1" si="181"/>
        <v/>
      </c>
      <c r="FP75" s="274" t="str">
        <f t="shared" ca="1" si="182"/>
        <v/>
      </c>
      <c r="FQ75" s="274" t="str">
        <f t="shared" ca="1" si="183"/>
        <v/>
      </c>
      <c r="FR75" s="321">
        <f t="shared" ca="1" si="184"/>
        <v>0</v>
      </c>
      <c r="FS75" s="322">
        <f t="shared" ca="1" si="185"/>
        <v>0</v>
      </c>
      <c r="FT75" s="272" t="str">
        <f t="shared" ca="1" si="186"/>
        <v/>
      </c>
      <c r="FU75" s="275" t="str">
        <f t="shared" ca="1" si="187"/>
        <v/>
      </c>
      <c r="FV75" s="323" t="str">
        <f t="shared" ca="1" si="165"/>
        <v/>
      </c>
      <c r="FW75" s="276" t="str">
        <f t="shared" ca="1" si="188"/>
        <v/>
      </c>
      <c r="FX75" s="276" t="str">
        <f t="shared" ca="1" si="189"/>
        <v/>
      </c>
      <c r="FY75" s="276" t="str">
        <f t="shared" ca="1" si="190"/>
        <v/>
      </c>
      <c r="FZ75" s="276" t="str">
        <f t="shared" ca="1" si="191"/>
        <v/>
      </c>
      <c r="GA75" s="276" t="str">
        <f t="shared" ca="1" si="192"/>
        <v/>
      </c>
      <c r="GB75" s="277" t="str">
        <f ca="1">IF(FY75="","",2+SUM(FO75:OFFSET(FO75,(FU75-1)*-1,0)))</f>
        <v/>
      </c>
      <c r="GC75" s="316" t="e">
        <f t="shared" si="193"/>
        <v>#N/A</v>
      </c>
      <c r="GD75" s="324" t="str">
        <f t="shared" si="166"/>
        <v/>
      </c>
      <c r="GE75" s="325" t="str">
        <f t="shared" si="167"/>
        <v/>
      </c>
      <c r="GF75" s="278" t="str">
        <f t="shared" si="168"/>
        <v/>
      </c>
      <c r="GG75" s="279" t="str">
        <f t="shared" si="169"/>
        <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1"/>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2"/>
        <v>0</v>
      </c>
      <c r="CU76" s="1316">
        <f t="shared" si="103"/>
        <v>0</v>
      </c>
      <c r="CV76" s="1310" t="str">
        <f t="shared" si="104"/>
        <v/>
      </c>
      <c r="CW76" s="1310" t="str">
        <f t="shared" si="105"/>
        <v/>
      </c>
      <c r="CX76" s="1310" t="str">
        <f t="shared" si="106"/>
        <v/>
      </c>
      <c r="CY76" s="1312">
        <f t="shared" si="107"/>
        <v>0</v>
      </c>
      <c r="CZ76" s="1312">
        <f t="shared" si="108"/>
        <v>0</v>
      </c>
      <c r="DA76" s="1312" t="str">
        <f t="shared" si="109"/>
        <v/>
      </c>
      <c r="DB76" s="1310" t="str">
        <f t="shared" si="173"/>
        <v/>
      </c>
      <c r="DC76" s="1310" t="str">
        <f t="shared" si="110"/>
        <v/>
      </c>
      <c r="DD76" s="875">
        <f t="shared" si="174"/>
        <v>0</v>
      </c>
      <c r="DE76" s="873">
        <f t="shared" si="111"/>
        <v>0</v>
      </c>
      <c r="DF76" s="874">
        <f t="shared" si="112"/>
        <v>0</v>
      </c>
      <c r="DG76" s="874" t="str">
        <f t="shared" si="113"/>
        <v/>
      </c>
      <c r="DH76" s="1310" t="str">
        <f t="shared" si="175"/>
        <v/>
      </c>
      <c r="DI76" s="1310" t="str">
        <f t="shared" si="114"/>
        <v/>
      </c>
      <c r="DJ76" s="1311">
        <f t="shared" si="176"/>
        <v>0</v>
      </c>
      <c r="DK76" s="1310" t="str">
        <f t="shared" si="115"/>
        <v/>
      </c>
      <c r="DL76" s="1310" t="str">
        <f t="shared" si="116"/>
        <v/>
      </c>
      <c r="DM76" s="1310" t="str">
        <f t="shared" si="117"/>
        <v/>
      </c>
      <c r="DN76" s="1310" t="str">
        <f t="shared" si="118"/>
        <v/>
      </c>
      <c r="DO76" s="889" t="str">
        <f t="shared" si="119"/>
        <v>ERR</v>
      </c>
      <c r="DP76" s="889" t="str">
        <f t="shared" si="120"/>
        <v>ERR</v>
      </c>
      <c r="DQ76" s="1310" t="str">
        <f t="shared" si="121"/>
        <v/>
      </c>
      <c r="DR76" s="1310" t="str">
        <f t="shared" si="121"/>
        <v/>
      </c>
      <c r="DS76" s="1310" t="str">
        <f t="shared" si="122"/>
        <v/>
      </c>
      <c r="DT76" s="1310" t="str">
        <f t="shared" si="123"/>
        <v/>
      </c>
      <c r="DU76" s="1310" t="str">
        <f t="shared" si="124"/>
        <v/>
      </c>
      <c r="DV76" s="889" t="str">
        <f t="shared" si="125"/>
        <v>ERR</v>
      </c>
      <c r="DW76" s="889" t="str">
        <f t="shared" si="126"/>
        <v>ERR</v>
      </c>
      <c r="DX76" s="873" t="str">
        <f t="shared" si="195"/>
        <v/>
      </c>
      <c r="DY76" s="873" t="str">
        <f t="shared" si="195"/>
        <v/>
      </c>
      <c r="DZ76" s="873" t="str">
        <f t="shared" si="128"/>
        <v/>
      </c>
      <c r="EA76" s="873" t="str">
        <f t="shared" si="129"/>
        <v/>
      </c>
      <c r="EB76" s="876" t="str">
        <f t="shared" si="130"/>
        <v/>
      </c>
      <c r="EC76" s="877" t="str">
        <f t="shared" si="131"/>
        <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t="str">
        <f t="shared" si="143"/>
        <v/>
      </c>
      <c r="EP76" s="874">
        <f t="shared" si="144"/>
        <v>0</v>
      </c>
      <c r="EQ76" s="874">
        <f t="shared" si="145"/>
        <v>0</v>
      </c>
      <c r="ER76" s="874">
        <f t="shared" si="146"/>
        <v>0</v>
      </c>
      <c r="ES76" s="874" t="str">
        <f t="shared" si="147"/>
        <v/>
      </c>
      <c r="ET76" s="873" t="str">
        <f t="shared" si="148"/>
        <v/>
      </c>
      <c r="EU76" s="873">
        <f t="shared" si="149"/>
        <v>0</v>
      </c>
      <c r="EV76" s="876" t="e">
        <f t="shared" si="150"/>
        <v>#VALUE!</v>
      </c>
      <c r="EW76" s="876" t="e">
        <f t="shared" si="151"/>
        <v>#VALUE!</v>
      </c>
      <c r="EX76" s="878" t="str">
        <f t="shared" si="152"/>
        <v/>
      </c>
      <c r="EY76" s="879" t="e">
        <f t="shared" si="153"/>
        <v>#DIV/0!</v>
      </c>
      <c r="EZ76" s="959" t="e">
        <f t="shared" si="154"/>
        <v>#DIV/0!</v>
      </c>
      <c r="FA76" s="960" t="e">
        <f t="shared" si="155"/>
        <v>#DIV/0!</v>
      </c>
      <c r="FB76" s="880" t="str">
        <f t="shared" si="156"/>
        <v/>
      </c>
      <c r="FC76" s="881" t="str">
        <f t="shared" si="157"/>
        <v/>
      </c>
      <c r="FD76" s="890">
        <f t="shared" si="158"/>
        <v>0</v>
      </c>
      <c r="FE76" s="833">
        <f t="shared" si="159"/>
        <v>0</v>
      </c>
      <c r="FF76" s="754" t="b">
        <f t="shared" si="160"/>
        <v>0</v>
      </c>
      <c r="FG76" s="754" t="b">
        <f t="shared" si="161"/>
        <v>0</v>
      </c>
      <c r="FH76" s="754" t="b">
        <f t="shared" si="162"/>
        <v>0</v>
      </c>
      <c r="FI76" s="754" t="b">
        <f t="shared" si="163"/>
        <v>0</v>
      </c>
      <c r="FJ76" s="920" t="str">
        <f t="shared" si="177"/>
        <v/>
      </c>
      <c r="FK76" s="919" t="str">
        <f t="shared" si="178"/>
        <v/>
      </c>
      <c r="FL76" s="320" t="e">
        <f t="shared" si="179"/>
        <v>#N/A</v>
      </c>
      <c r="FM76" s="312" t="str">
        <f t="shared" si="164"/>
        <v/>
      </c>
      <c r="FN76" s="272" t="str">
        <f t="shared" ca="1" si="180"/>
        <v/>
      </c>
      <c r="FO76" s="273" t="str">
        <f t="shared" ca="1" si="181"/>
        <v/>
      </c>
      <c r="FP76" s="274" t="str">
        <f t="shared" ca="1" si="182"/>
        <v/>
      </c>
      <c r="FQ76" s="274" t="str">
        <f t="shared" ca="1" si="183"/>
        <v/>
      </c>
      <c r="FR76" s="321">
        <f t="shared" ca="1" si="184"/>
        <v>0</v>
      </c>
      <c r="FS76" s="322">
        <f t="shared" ca="1" si="185"/>
        <v>0</v>
      </c>
      <c r="FT76" s="272" t="str">
        <f t="shared" ca="1" si="186"/>
        <v/>
      </c>
      <c r="FU76" s="275" t="str">
        <f t="shared" ca="1" si="187"/>
        <v/>
      </c>
      <c r="FV76" s="323" t="str">
        <f t="shared" ca="1" si="165"/>
        <v/>
      </c>
      <c r="FW76" s="276" t="str">
        <f t="shared" ca="1" si="188"/>
        <v/>
      </c>
      <c r="FX76" s="276" t="str">
        <f t="shared" ca="1" si="189"/>
        <v/>
      </c>
      <c r="FY76" s="276" t="str">
        <f t="shared" ca="1" si="190"/>
        <v/>
      </c>
      <c r="FZ76" s="276" t="str">
        <f t="shared" ca="1" si="191"/>
        <v/>
      </c>
      <c r="GA76" s="276" t="str">
        <f t="shared" ca="1" si="192"/>
        <v/>
      </c>
      <c r="GB76" s="277" t="str">
        <f ca="1">IF(FY76="","",2+SUM(FO76:OFFSET(FO76,(FU76-1)*-1,0)))</f>
        <v/>
      </c>
      <c r="GC76" s="316" t="e">
        <f t="shared" si="193"/>
        <v>#N/A</v>
      </c>
      <c r="GD76" s="324" t="str">
        <f t="shared" si="166"/>
        <v/>
      </c>
      <c r="GE76" s="325" t="str">
        <f t="shared" si="167"/>
        <v/>
      </c>
      <c r="GF76" s="278" t="str">
        <f t="shared" si="168"/>
        <v/>
      </c>
      <c r="GG76" s="279" t="str">
        <f t="shared" si="169"/>
        <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1"/>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2"/>
        <v>0</v>
      </c>
      <c r="CU77" s="1316">
        <f t="shared" si="103"/>
        <v>0</v>
      </c>
      <c r="CV77" s="1310" t="str">
        <f t="shared" si="104"/>
        <v/>
      </c>
      <c r="CW77" s="1310" t="str">
        <f t="shared" si="105"/>
        <v/>
      </c>
      <c r="CX77" s="1310" t="str">
        <f t="shared" si="106"/>
        <v/>
      </c>
      <c r="CY77" s="1312">
        <f t="shared" si="107"/>
        <v>0</v>
      </c>
      <c r="CZ77" s="1312">
        <f t="shared" si="108"/>
        <v>0</v>
      </c>
      <c r="DA77" s="1312" t="str">
        <f t="shared" si="109"/>
        <v/>
      </c>
      <c r="DB77" s="1310" t="str">
        <f t="shared" si="173"/>
        <v/>
      </c>
      <c r="DC77" s="1310" t="str">
        <f t="shared" si="110"/>
        <v/>
      </c>
      <c r="DD77" s="875">
        <f t="shared" si="174"/>
        <v>0</v>
      </c>
      <c r="DE77" s="873">
        <f t="shared" si="111"/>
        <v>0</v>
      </c>
      <c r="DF77" s="874">
        <f t="shared" si="112"/>
        <v>0</v>
      </c>
      <c r="DG77" s="874" t="str">
        <f t="shared" si="113"/>
        <v/>
      </c>
      <c r="DH77" s="1310" t="str">
        <f t="shared" si="175"/>
        <v/>
      </c>
      <c r="DI77" s="1310" t="str">
        <f t="shared" si="114"/>
        <v/>
      </c>
      <c r="DJ77" s="1311">
        <f t="shared" si="176"/>
        <v>0</v>
      </c>
      <c r="DK77" s="1310" t="str">
        <f t="shared" si="115"/>
        <v/>
      </c>
      <c r="DL77" s="1310" t="str">
        <f t="shared" si="116"/>
        <v/>
      </c>
      <c r="DM77" s="1310" t="str">
        <f t="shared" si="117"/>
        <v/>
      </c>
      <c r="DN77" s="1310" t="str">
        <f t="shared" si="118"/>
        <v/>
      </c>
      <c r="DO77" s="889" t="str">
        <f t="shared" si="119"/>
        <v>ERR</v>
      </c>
      <c r="DP77" s="889" t="str">
        <f t="shared" si="120"/>
        <v>ERR</v>
      </c>
      <c r="DQ77" s="1310" t="str">
        <f t="shared" si="121"/>
        <v/>
      </c>
      <c r="DR77" s="1310" t="str">
        <f t="shared" si="121"/>
        <v/>
      </c>
      <c r="DS77" s="1310" t="str">
        <f t="shared" si="122"/>
        <v/>
      </c>
      <c r="DT77" s="1310" t="str">
        <f t="shared" si="123"/>
        <v/>
      </c>
      <c r="DU77" s="1310" t="str">
        <f t="shared" si="124"/>
        <v/>
      </c>
      <c r="DV77" s="889" t="str">
        <f t="shared" si="125"/>
        <v>ERR</v>
      </c>
      <c r="DW77" s="889" t="str">
        <f t="shared" si="126"/>
        <v>ERR</v>
      </c>
      <c r="DX77" s="873" t="str">
        <f t="shared" si="195"/>
        <v/>
      </c>
      <c r="DY77" s="873" t="str">
        <f t="shared" si="195"/>
        <v/>
      </c>
      <c r="DZ77" s="873" t="str">
        <f t="shared" si="128"/>
        <v/>
      </c>
      <c r="EA77" s="873" t="str">
        <f t="shared" si="129"/>
        <v/>
      </c>
      <c r="EB77" s="876" t="str">
        <f t="shared" si="130"/>
        <v/>
      </c>
      <c r="EC77" s="877" t="str">
        <f t="shared" si="131"/>
        <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t="str">
        <f t="shared" si="143"/>
        <v/>
      </c>
      <c r="EP77" s="874">
        <f t="shared" si="144"/>
        <v>0</v>
      </c>
      <c r="EQ77" s="874">
        <f t="shared" si="145"/>
        <v>0</v>
      </c>
      <c r="ER77" s="874">
        <f t="shared" si="146"/>
        <v>0</v>
      </c>
      <c r="ES77" s="874" t="str">
        <f t="shared" si="147"/>
        <v/>
      </c>
      <c r="ET77" s="873" t="str">
        <f t="shared" si="148"/>
        <v/>
      </c>
      <c r="EU77" s="873">
        <f t="shared" si="149"/>
        <v>0</v>
      </c>
      <c r="EV77" s="876" t="e">
        <f t="shared" si="150"/>
        <v>#VALUE!</v>
      </c>
      <c r="EW77" s="876" t="e">
        <f t="shared" si="151"/>
        <v>#VALUE!</v>
      </c>
      <c r="EX77" s="878" t="str">
        <f t="shared" si="152"/>
        <v/>
      </c>
      <c r="EY77" s="879" t="e">
        <f t="shared" si="153"/>
        <v>#DIV/0!</v>
      </c>
      <c r="EZ77" s="959" t="e">
        <f t="shared" si="154"/>
        <v>#DIV/0!</v>
      </c>
      <c r="FA77" s="960" t="e">
        <f t="shared" si="155"/>
        <v>#DIV/0!</v>
      </c>
      <c r="FB77" s="880" t="str">
        <f t="shared" si="156"/>
        <v/>
      </c>
      <c r="FC77" s="881" t="str">
        <f t="shared" si="157"/>
        <v/>
      </c>
      <c r="FD77" s="890">
        <f t="shared" si="158"/>
        <v>0</v>
      </c>
      <c r="FE77" s="833">
        <f t="shared" si="159"/>
        <v>0</v>
      </c>
      <c r="FF77" s="754" t="b">
        <f t="shared" si="160"/>
        <v>0</v>
      </c>
      <c r="FG77" s="754" t="b">
        <f t="shared" si="161"/>
        <v>0</v>
      </c>
      <c r="FH77" s="754" t="b">
        <f t="shared" si="162"/>
        <v>0</v>
      </c>
      <c r="FI77" s="754" t="b">
        <f t="shared" si="163"/>
        <v>0</v>
      </c>
      <c r="FJ77" s="920" t="str">
        <f t="shared" si="177"/>
        <v/>
      </c>
      <c r="FK77" s="919" t="str">
        <f t="shared" si="178"/>
        <v/>
      </c>
      <c r="FL77" s="320" t="e">
        <f t="shared" si="179"/>
        <v>#N/A</v>
      </c>
      <c r="FM77" s="312" t="str">
        <f t="shared" si="164"/>
        <v/>
      </c>
      <c r="FN77" s="272" t="str">
        <f t="shared" ca="1" si="180"/>
        <v/>
      </c>
      <c r="FO77" s="273" t="str">
        <f t="shared" ca="1" si="181"/>
        <v/>
      </c>
      <c r="FP77" s="274" t="str">
        <f t="shared" ca="1" si="182"/>
        <v/>
      </c>
      <c r="FQ77" s="274" t="str">
        <f t="shared" ca="1" si="183"/>
        <v/>
      </c>
      <c r="FR77" s="321">
        <f t="shared" ca="1" si="184"/>
        <v>0</v>
      </c>
      <c r="FS77" s="322">
        <f t="shared" ca="1" si="185"/>
        <v>0</v>
      </c>
      <c r="FT77" s="272" t="str">
        <f t="shared" ca="1" si="186"/>
        <v/>
      </c>
      <c r="FU77" s="275" t="str">
        <f t="shared" ca="1" si="187"/>
        <v/>
      </c>
      <c r="FV77" s="323" t="str">
        <f t="shared" ca="1" si="165"/>
        <v/>
      </c>
      <c r="FW77" s="276" t="str">
        <f t="shared" ca="1" si="188"/>
        <v/>
      </c>
      <c r="FX77" s="276" t="str">
        <f t="shared" ca="1" si="189"/>
        <v/>
      </c>
      <c r="FY77" s="276" t="str">
        <f t="shared" ca="1" si="190"/>
        <v/>
      </c>
      <c r="FZ77" s="276" t="str">
        <f t="shared" ca="1" si="191"/>
        <v/>
      </c>
      <c r="GA77" s="276" t="str">
        <f t="shared" ca="1" si="192"/>
        <v/>
      </c>
      <c r="GB77" s="277" t="str">
        <f ca="1">IF(FY77="","",2+SUM(FO77:OFFSET(FO77,(FU77-1)*-1,0)))</f>
        <v/>
      </c>
      <c r="GC77" s="316" t="e">
        <f t="shared" si="193"/>
        <v>#N/A</v>
      </c>
      <c r="GD77" s="324" t="str">
        <f t="shared" si="166"/>
        <v/>
      </c>
      <c r="GE77" s="325" t="str">
        <f t="shared" si="167"/>
        <v/>
      </c>
      <c r="GF77" s="278" t="str">
        <f t="shared" si="168"/>
        <v/>
      </c>
      <c r="GG77" s="279" t="str">
        <f t="shared" si="169"/>
        <v/>
      </c>
      <c r="GH77" s="279" t="str">
        <f t="shared" si="170"/>
        <v/>
      </c>
      <c r="GI77" s="280" t="str">
        <f t="shared" si="171"/>
        <v/>
      </c>
      <c r="GJ77" s="530">
        <f t="shared" ca="1" si="172"/>
        <v>0</v>
      </c>
      <c r="GK77" s="895" t="str">
        <f t="shared" ca="1" si="194"/>
        <v/>
      </c>
    </row>
    <row r="78" spans="78:193" ht="12.6" hidden="1" customHeight="1" x14ac:dyDescent="0.2">
      <c r="BZ78" s="293"/>
      <c r="CA78" s="293"/>
      <c r="CB78" s="365" t="str">
        <f t="shared" si="100"/>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1"/>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2"/>
        <v>0</v>
      </c>
      <c r="CU78" s="1316">
        <f t="shared" si="103"/>
        <v>0</v>
      </c>
      <c r="CV78" s="1310" t="str">
        <f t="shared" si="104"/>
        <v/>
      </c>
      <c r="CW78" s="1310" t="str">
        <f t="shared" si="105"/>
        <v/>
      </c>
      <c r="CX78" s="1310" t="str">
        <f t="shared" si="106"/>
        <v/>
      </c>
      <c r="CY78" s="1312">
        <f t="shared" si="107"/>
        <v>0</v>
      </c>
      <c r="CZ78" s="1312">
        <f t="shared" si="108"/>
        <v>0</v>
      </c>
      <c r="DA78" s="1312" t="str">
        <f t="shared" si="109"/>
        <v/>
      </c>
      <c r="DB78" s="1310" t="str">
        <f t="shared" si="173"/>
        <v/>
      </c>
      <c r="DC78" s="1310" t="str">
        <f t="shared" si="110"/>
        <v/>
      </c>
      <c r="DD78" s="875">
        <f t="shared" si="174"/>
        <v>0</v>
      </c>
      <c r="DE78" s="873">
        <f t="shared" si="111"/>
        <v>0</v>
      </c>
      <c r="DF78" s="874">
        <f t="shared" si="112"/>
        <v>0</v>
      </c>
      <c r="DG78" s="874" t="str">
        <f t="shared" si="113"/>
        <v/>
      </c>
      <c r="DH78" s="1310" t="str">
        <f t="shared" si="175"/>
        <v/>
      </c>
      <c r="DI78" s="1310" t="str">
        <f t="shared" si="114"/>
        <v/>
      </c>
      <c r="DJ78" s="1311">
        <f t="shared" si="176"/>
        <v>0</v>
      </c>
      <c r="DK78" s="1310" t="str">
        <f t="shared" si="115"/>
        <v/>
      </c>
      <c r="DL78" s="1310" t="str">
        <f t="shared" si="116"/>
        <v/>
      </c>
      <c r="DM78" s="1310" t="str">
        <f t="shared" si="117"/>
        <v/>
      </c>
      <c r="DN78" s="1310" t="str">
        <f t="shared" si="118"/>
        <v/>
      </c>
      <c r="DO78" s="889" t="str">
        <f t="shared" si="119"/>
        <v>ERR</v>
      </c>
      <c r="DP78" s="889" t="str">
        <f t="shared" si="120"/>
        <v>ERR</v>
      </c>
      <c r="DQ78" s="1310" t="str">
        <f t="shared" si="121"/>
        <v/>
      </c>
      <c r="DR78" s="1310" t="str">
        <f t="shared" si="121"/>
        <v/>
      </c>
      <c r="DS78" s="1310" t="str">
        <f t="shared" si="122"/>
        <v/>
      </c>
      <c r="DT78" s="1310" t="str">
        <f t="shared" si="123"/>
        <v/>
      </c>
      <c r="DU78" s="1310" t="str">
        <f t="shared" si="124"/>
        <v/>
      </c>
      <c r="DV78" s="889" t="str">
        <f t="shared" si="125"/>
        <v>ERR</v>
      </c>
      <c r="DW78" s="889" t="str">
        <f t="shared" si="126"/>
        <v>ERR</v>
      </c>
      <c r="DX78" s="873" t="str">
        <f t="shared" si="195"/>
        <v/>
      </c>
      <c r="DY78" s="873" t="str">
        <f t="shared" si="195"/>
        <v/>
      </c>
      <c r="DZ78" s="873" t="str">
        <f t="shared" si="128"/>
        <v/>
      </c>
      <c r="EA78" s="873" t="str">
        <f t="shared" si="129"/>
        <v/>
      </c>
      <c r="EB78" s="876" t="str">
        <f t="shared" si="130"/>
        <v/>
      </c>
      <c r="EC78" s="877" t="str">
        <f t="shared" si="131"/>
        <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t="str">
        <f t="shared" si="143"/>
        <v/>
      </c>
      <c r="EP78" s="874">
        <f t="shared" si="144"/>
        <v>0</v>
      </c>
      <c r="EQ78" s="874">
        <f t="shared" si="145"/>
        <v>0</v>
      </c>
      <c r="ER78" s="874">
        <f t="shared" si="146"/>
        <v>0</v>
      </c>
      <c r="ES78" s="874" t="str">
        <f t="shared" si="147"/>
        <v/>
      </c>
      <c r="ET78" s="873" t="str">
        <f t="shared" si="148"/>
        <v/>
      </c>
      <c r="EU78" s="873">
        <f t="shared" si="149"/>
        <v>0</v>
      </c>
      <c r="EV78" s="876" t="e">
        <f t="shared" si="150"/>
        <v>#VALUE!</v>
      </c>
      <c r="EW78" s="876" t="e">
        <f t="shared" si="151"/>
        <v>#VALUE!</v>
      </c>
      <c r="EX78" s="878" t="str">
        <f t="shared" si="152"/>
        <v/>
      </c>
      <c r="EY78" s="879" t="e">
        <f t="shared" si="153"/>
        <v>#DIV/0!</v>
      </c>
      <c r="EZ78" s="959" t="e">
        <f t="shared" si="154"/>
        <v>#DIV/0!</v>
      </c>
      <c r="FA78" s="960" t="e">
        <f t="shared" si="155"/>
        <v>#DIV/0!</v>
      </c>
      <c r="FB78" s="880" t="str">
        <f t="shared" si="156"/>
        <v/>
      </c>
      <c r="FC78" s="881" t="str">
        <f t="shared" si="157"/>
        <v/>
      </c>
      <c r="FD78" s="890">
        <f t="shared" si="158"/>
        <v>0</v>
      </c>
      <c r="FE78" s="833">
        <f t="shared" si="159"/>
        <v>0</v>
      </c>
      <c r="FF78" s="754" t="b">
        <f t="shared" si="160"/>
        <v>0</v>
      </c>
      <c r="FG78" s="754" t="b">
        <f t="shared" si="161"/>
        <v>0</v>
      </c>
      <c r="FH78" s="754" t="b">
        <f t="shared" si="162"/>
        <v>0</v>
      </c>
      <c r="FI78" s="754" t="b">
        <f t="shared" si="163"/>
        <v>0</v>
      </c>
      <c r="FJ78" s="920" t="str">
        <f t="shared" si="177"/>
        <v/>
      </c>
      <c r="FK78" s="919" t="str">
        <f t="shared" si="178"/>
        <v/>
      </c>
      <c r="FL78" s="320" t="e">
        <f t="shared" si="179"/>
        <v>#N/A</v>
      </c>
      <c r="FM78" s="312" t="str">
        <f t="shared" si="164"/>
        <v/>
      </c>
      <c r="FN78" s="272" t="str">
        <f t="shared" ca="1" si="180"/>
        <v/>
      </c>
      <c r="FO78" s="273" t="str">
        <f t="shared" ca="1" si="181"/>
        <v/>
      </c>
      <c r="FP78" s="274" t="str">
        <f t="shared" ca="1" si="182"/>
        <v/>
      </c>
      <c r="FQ78" s="274" t="str">
        <f t="shared" ca="1" si="183"/>
        <v/>
      </c>
      <c r="FR78" s="321">
        <f t="shared" ca="1" si="184"/>
        <v>0</v>
      </c>
      <c r="FS78" s="322">
        <f t="shared" ca="1" si="185"/>
        <v>0</v>
      </c>
      <c r="FT78" s="272" t="str">
        <f t="shared" ca="1" si="186"/>
        <v/>
      </c>
      <c r="FU78" s="275" t="str">
        <f t="shared" ca="1" si="187"/>
        <v/>
      </c>
      <c r="FV78" s="323" t="str">
        <f t="shared" ca="1" si="165"/>
        <v/>
      </c>
      <c r="FW78" s="276" t="str">
        <f t="shared" ca="1" si="188"/>
        <v/>
      </c>
      <c r="FX78" s="276" t="str">
        <f t="shared" ca="1" si="189"/>
        <v/>
      </c>
      <c r="FY78" s="276" t="str">
        <f t="shared" ca="1" si="190"/>
        <v/>
      </c>
      <c r="FZ78" s="276" t="str">
        <f t="shared" ca="1" si="191"/>
        <v/>
      </c>
      <c r="GA78" s="276" t="str">
        <f t="shared" ca="1" si="192"/>
        <v/>
      </c>
      <c r="GB78" s="277" t="str">
        <f ca="1">IF(FY78="","",2+SUM(FO78:OFFSET(FO78,(FU78-1)*-1,0)))</f>
        <v/>
      </c>
      <c r="GC78" s="316" t="e">
        <f t="shared" si="193"/>
        <v>#N/A</v>
      </c>
      <c r="GD78" s="324" t="str">
        <f t="shared" si="166"/>
        <v/>
      </c>
      <c r="GE78" s="325" t="str">
        <f t="shared" si="167"/>
        <v/>
      </c>
      <c r="GF78" s="278" t="str">
        <f t="shared" si="168"/>
        <v/>
      </c>
      <c r="GG78" s="279" t="str">
        <f t="shared" si="169"/>
        <v/>
      </c>
      <c r="GH78" s="279" t="str">
        <f t="shared" si="170"/>
        <v/>
      </c>
      <c r="GI78" s="280" t="str">
        <f t="shared" si="171"/>
        <v/>
      </c>
      <c r="GJ78" s="530">
        <f t="shared" ca="1" si="172"/>
        <v>0</v>
      </c>
      <c r="GK78" s="895" t="str">
        <f t="shared" ca="1" si="194"/>
        <v/>
      </c>
    </row>
    <row r="79" spans="78:193" ht="12.6" hidden="1" customHeight="1" x14ac:dyDescent="0.2">
      <c r="BZ79" s="293"/>
      <c r="CA79" s="293"/>
      <c r="CB79" s="365" t="str">
        <f t="shared" si="100"/>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1"/>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2"/>
        <v>0</v>
      </c>
      <c r="CU79" s="1316">
        <f t="shared" si="103"/>
        <v>0</v>
      </c>
      <c r="CV79" s="1310" t="str">
        <f t="shared" si="104"/>
        <v/>
      </c>
      <c r="CW79" s="1310" t="str">
        <f t="shared" si="105"/>
        <v/>
      </c>
      <c r="CX79" s="1310" t="str">
        <f t="shared" si="106"/>
        <v/>
      </c>
      <c r="CY79" s="1312">
        <f t="shared" si="107"/>
        <v>0</v>
      </c>
      <c r="CZ79" s="1312">
        <f t="shared" si="108"/>
        <v>0</v>
      </c>
      <c r="DA79" s="1312" t="str">
        <f t="shared" si="109"/>
        <v/>
      </c>
      <c r="DB79" s="1310" t="str">
        <f t="shared" si="173"/>
        <v/>
      </c>
      <c r="DC79" s="1310" t="str">
        <f t="shared" si="110"/>
        <v/>
      </c>
      <c r="DD79" s="875">
        <f t="shared" si="174"/>
        <v>0</v>
      </c>
      <c r="DE79" s="873">
        <f t="shared" si="111"/>
        <v>0</v>
      </c>
      <c r="DF79" s="874">
        <f t="shared" si="112"/>
        <v>0</v>
      </c>
      <c r="DG79" s="874" t="str">
        <f t="shared" si="113"/>
        <v/>
      </c>
      <c r="DH79" s="1310" t="str">
        <f t="shared" si="175"/>
        <v/>
      </c>
      <c r="DI79" s="1310" t="str">
        <f t="shared" si="114"/>
        <v/>
      </c>
      <c r="DJ79" s="1311">
        <f t="shared" si="176"/>
        <v>0</v>
      </c>
      <c r="DK79" s="1310" t="str">
        <f t="shared" si="115"/>
        <v/>
      </c>
      <c r="DL79" s="1310" t="str">
        <f t="shared" si="116"/>
        <v/>
      </c>
      <c r="DM79" s="1310" t="str">
        <f t="shared" si="117"/>
        <v/>
      </c>
      <c r="DN79" s="1310" t="str">
        <f t="shared" si="118"/>
        <v/>
      </c>
      <c r="DO79" s="889" t="str">
        <f t="shared" si="119"/>
        <v>ERR</v>
      </c>
      <c r="DP79" s="889" t="str">
        <f t="shared" si="120"/>
        <v>ERR</v>
      </c>
      <c r="DQ79" s="1310" t="str">
        <f t="shared" si="121"/>
        <v/>
      </c>
      <c r="DR79" s="1310" t="str">
        <f t="shared" si="121"/>
        <v/>
      </c>
      <c r="DS79" s="1310" t="str">
        <f t="shared" si="122"/>
        <v/>
      </c>
      <c r="DT79" s="1310" t="str">
        <f t="shared" si="123"/>
        <v/>
      </c>
      <c r="DU79" s="1310" t="str">
        <f t="shared" si="124"/>
        <v/>
      </c>
      <c r="DV79" s="889" t="str">
        <f t="shared" si="125"/>
        <v>ERR</v>
      </c>
      <c r="DW79" s="889" t="str">
        <f t="shared" si="126"/>
        <v>ERR</v>
      </c>
      <c r="DX79" s="873" t="str">
        <f t="shared" si="195"/>
        <v/>
      </c>
      <c r="DY79" s="873" t="str">
        <f t="shared" si="195"/>
        <v/>
      </c>
      <c r="DZ79" s="873" t="str">
        <f t="shared" si="128"/>
        <v/>
      </c>
      <c r="EA79" s="873" t="str">
        <f t="shared" si="129"/>
        <v/>
      </c>
      <c r="EB79" s="876" t="str">
        <f t="shared" si="130"/>
        <v/>
      </c>
      <c r="EC79" s="877" t="str">
        <f t="shared" si="131"/>
        <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t="str">
        <f t="shared" si="143"/>
        <v/>
      </c>
      <c r="EP79" s="874">
        <f t="shared" si="144"/>
        <v>0</v>
      </c>
      <c r="EQ79" s="874">
        <f t="shared" si="145"/>
        <v>0</v>
      </c>
      <c r="ER79" s="874">
        <f t="shared" si="146"/>
        <v>0</v>
      </c>
      <c r="ES79" s="874" t="str">
        <f t="shared" si="147"/>
        <v/>
      </c>
      <c r="ET79" s="873" t="str">
        <f t="shared" si="148"/>
        <v/>
      </c>
      <c r="EU79" s="873">
        <f t="shared" si="149"/>
        <v>0</v>
      </c>
      <c r="EV79" s="876" t="e">
        <f t="shared" si="150"/>
        <v>#VALUE!</v>
      </c>
      <c r="EW79" s="876" t="e">
        <f t="shared" si="151"/>
        <v>#VALUE!</v>
      </c>
      <c r="EX79" s="878" t="str">
        <f t="shared" si="152"/>
        <v/>
      </c>
      <c r="EY79" s="879" t="e">
        <f t="shared" si="153"/>
        <v>#DIV/0!</v>
      </c>
      <c r="EZ79" s="959" t="e">
        <f t="shared" si="154"/>
        <v>#DIV/0!</v>
      </c>
      <c r="FA79" s="960" t="e">
        <f t="shared" si="155"/>
        <v>#DIV/0!</v>
      </c>
      <c r="FB79" s="880" t="str">
        <f t="shared" si="156"/>
        <v/>
      </c>
      <c r="FC79" s="881" t="str">
        <f t="shared" si="157"/>
        <v/>
      </c>
      <c r="FD79" s="890">
        <f t="shared" si="158"/>
        <v>0</v>
      </c>
      <c r="FE79" s="833">
        <f t="shared" si="159"/>
        <v>0</v>
      </c>
      <c r="FF79" s="754" t="b">
        <f t="shared" si="160"/>
        <v>0</v>
      </c>
      <c r="FG79" s="754" t="b">
        <f t="shared" si="161"/>
        <v>0</v>
      </c>
      <c r="FH79" s="754" t="b">
        <f t="shared" si="162"/>
        <v>0</v>
      </c>
      <c r="FI79" s="754" t="b">
        <f t="shared" si="163"/>
        <v>0</v>
      </c>
      <c r="FJ79" s="920" t="str">
        <f t="shared" si="177"/>
        <v/>
      </c>
      <c r="FK79" s="919" t="str">
        <f t="shared" si="178"/>
        <v/>
      </c>
      <c r="FL79" s="320" t="e">
        <f t="shared" si="179"/>
        <v>#N/A</v>
      </c>
      <c r="FM79" s="312" t="str">
        <f t="shared" si="164"/>
        <v/>
      </c>
      <c r="FN79" s="272" t="str">
        <f t="shared" ca="1" si="180"/>
        <v/>
      </c>
      <c r="FO79" s="273" t="str">
        <f t="shared" ca="1" si="181"/>
        <v/>
      </c>
      <c r="FP79" s="274" t="str">
        <f t="shared" ca="1" si="182"/>
        <v/>
      </c>
      <c r="FQ79" s="274" t="str">
        <f t="shared" ca="1" si="183"/>
        <v/>
      </c>
      <c r="FR79" s="321">
        <f t="shared" ca="1" si="184"/>
        <v>0</v>
      </c>
      <c r="FS79" s="322">
        <f t="shared" ca="1" si="185"/>
        <v>0</v>
      </c>
      <c r="FT79" s="272" t="str">
        <f t="shared" ca="1" si="186"/>
        <v/>
      </c>
      <c r="FU79" s="275" t="str">
        <f t="shared" ca="1" si="187"/>
        <v/>
      </c>
      <c r="FV79" s="323" t="str">
        <f t="shared" ca="1" si="165"/>
        <v/>
      </c>
      <c r="FW79" s="276" t="str">
        <f t="shared" ca="1" si="188"/>
        <v/>
      </c>
      <c r="FX79" s="276" t="str">
        <f t="shared" ca="1" si="189"/>
        <v/>
      </c>
      <c r="FY79" s="276" t="str">
        <f t="shared" ca="1" si="190"/>
        <v/>
      </c>
      <c r="FZ79" s="276" t="str">
        <f t="shared" ca="1" si="191"/>
        <v/>
      </c>
      <c r="GA79" s="276" t="str">
        <f t="shared" ca="1" si="192"/>
        <v/>
      </c>
      <c r="GB79" s="277" t="str">
        <f ca="1">IF(FY79="","",2+SUM(FO79:OFFSET(FO79,(FU79-1)*-1,0)))</f>
        <v/>
      </c>
      <c r="GC79" s="316" t="e">
        <f t="shared" si="193"/>
        <v>#N/A</v>
      </c>
      <c r="GD79" s="324" t="str">
        <f t="shared" si="166"/>
        <v/>
      </c>
      <c r="GE79" s="325" t="str">
        <f t="shared" si="167"/>
        <v/>
      </c>
      <c r="GF79" s="278" t="str">
        <f t="shared" si="168"/>
        <v/>
      </c>
      <c r="GG79" s="279" t="str">
        <f t="shared" si="169"/>
        <v/>
      </c>
      <c r="GH79" s="279" t="str">
        <f t="shared" si="170"/>
        <v/>
      </c>
      <c r="GI79" s="280" t="str">
        <f t="shared" si="171"/>
        <v/>
      </c>
      <c r="GJ79" s="530">
        <f t="shared" ca="1" si="172"/>
        <v>0</v>
      </c>
      <c r="GK79" s="895" t="str">
        <f t="shared" ca="1" si="194"/>
        <v/>
      </c>
    </row>
    <row r="80" spans="78:193" ht="12.6" hidden="1" customHeight="1" x14ac:dyDescent="0.2">
      <c r="BZ80" s="293"/>
      <c r="CA80" s="293"/>
      <c r="CB80" s="365" t="str">
        <f t="shared" si="100"/>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1"/>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2"/>
        <v>0</v>
      </c>
      <c r="CU80" s="1316">
        <f t="shared" si="103"/>
        <v>0</v>
      </c>
      <c r="CV80" s="1310" t="str">
        <f t="shared" si="104"/>
        <v/>
      </c>
      <c r="CW80" s="1310" t="str">
        <f t="shared" si="105"/>
        <v/>
      </c>
      <c r="CX80" s="1310" t="str">
        <f t="shared" si="106"/>
        <v/>
      </c>
      <c r="CY80" s="1312">
        <f t="shared" si="107"/>
        <v>0</v>
      </c>
      <c r="CZ80" s="1312">
        <f t="shared" si="108"/>
        <v>0</v>
      </c>
      <c r="DA80" s="1312" t="str">
        <f t="shared" si="109"/>
        <v/>
      </c>
      <c r="DB80" s="1310" t="str">
        <f t="shared" si="173"/>
        <v/>
      </c>
      <c r="DC80" s="1310" t="str">
        <f t="shared" si="110"/>
        <v/>
      </c>
      <c r="DD80" s="875">
        <f t="shared" si="174"/>
        <v>0</v>
      </c>
      <c r="DE80" s="873">
        <f t="shared" si="111"/>
        <v>0</v>
      </c>
      <c r="DF80" s="874">
        <f t="shared" si="112"/>
        <v>0</v>
      </c>
      <c r="DG80" s="874" t="str">
        <f t="shared" si="113"/>
        <v/>
      </c>
      <c r="DH80" s="1310" t="str">
        <f t="shared" si="175"/>
        <v/>
      </c>
      <c r="DI80" s="1310" t="str">
        <f t="shared" si="114"/>
        <v/>
      </c>
      <c r="DJ80" s="1311">
        <f t="shared" si="176"/>
        <v>0</v>
      </c>
      <c r="DK80" s="1310" t="str">
        <f t="shared" si="115"/>
        <v/>
      </c>
      <c r="DL80" s="1310" t="str">
        <f t="shared" si="116"/>
        <v/>
      </c>
      <c r="DM80" s="1310" t="str">
        <f t="shared" si="117"/>
        <v/>
      </c>
      <c r="DN80" s="1310" t="str">
        <f t="shared" si="118"/>
        <v/>
      </c>
      <c r="DO80" s="889" t="str">
        <f t="shared" si="119"/>
        <v>ERR</v>
      </c>
      <c r="DP80" s="889" t="str">
        <f t="shared" si="120"/>
        <v>ERR</v>
      </c>
      <c r="DQ80" s="1310" t="str">
        <f t="shared" si="121"/>
        <v/>
      </c>
      <c r="DR80" s="1310" t="str">
        <f t="shared" si="121"/>
        <v/>
      </c>
      <c r="DS80" s="1310" t="str">
        <f t="shared" si="122"/>
        <v/>
      </c>
      <c r="DT80" s="1310" t="str">
        <f t="shared" si="123"/>
        <v/>
      </c>
      <c r="DU80" s="1310" t="str">
        <f t="shared" si="124"/>
        <v/>
      </c>
      <c r="DV80" s="889" t="str">
        <f t="shared" si="125"/>
        <v>ERR</v>
      </c>
      <c r="DW80" s="889" t="str">
        <f t="shared" si="126"/>
        <v>ERR</v>
      </c>
      <c r="DX80" s="873" t="str">
        <f t="shared" si="195"/>
        <v/>
      </c>
      <c r="DY80" s="873" t="str">
        <f t="shared" si="195"/>
        <v/>
      </c>
      <c r="DZ80" s="873" t="str">
        <f t="shared" si="128"/>
        <v/>
      </c>
      <c r="EA80" s="873" t="str">
        <f t="shared" si="129"/>
        <v/>
      </c>
      <c r="EB80" s="876" t="str">
        <f t="shared" si="130"/>
        <v/>
      </c>
      <c r="EC80" s="877" t="str">
        <f t="shared" si="131"/>
        <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t="str">
        <f t="shared" si="143"/>
        <v/>
      </c>
      <c r="EP80" s="874">
        <f t="shared" si="144"/>
        <v>0</v>
      </c>
      <c r="EQ80" s="874">
        <f t="shared" si="145"/>
        <v>0</v>
      </c>
      <c r="ER80" s="874">
        <f t="shared" si="146"/>
        <v>0</v>
      </c>
      <c r="ES80" s="874" t="str">
        <f t="shared" si="147"/>
        <v/>
      </c>
      <c r="ET80" s="873" t="str">
        <f t="shared" si="148"/>
        <v/>
      </c>
      <c r="EU80" s="873">
        <f t="shared" si="149"/>
        <v>0</v>
      </c>
      <c r="EV80" s="876" t="e">
        <f t="shared" si="150"/>
        <v>#VALUE!</v>
      </c>
      <c r="EW80" s="876" t="e">
        <f t="shared" si="151"/>
        <v>#VALUE!</v>
      </c>
      <c r="EX80" s="878" t="str">
        <f t="shared" si="152"/>
        <v/>
      </c>
      <c r="EY80" s="879" t="e">
        <f t="shared" si="153"/>
        <v>#DIV/0!</v>
      </c>
      <c r="EZ80" s="959" t="e">
        <f t="shared" si="154"/>
        <v>#DIV/0!</v>
      </c>
      <c r="FA80" s="960" t="e">
        <f t="shared" si="155"/>
        <v>#DIV/0!</v>
      </c>
      <c r="FB80" s="880" t="str">
        <f t="shared" si="156"/>
        <v/>
      </c>
      <c r="FC80" s="881" t="str">
        <f t="shared" si="157"/>
        <v/>
      </c>
      <c r="FD80" s="890">
        <f t="shared" si="158"/>
        <v>0</v>
      </c>
      <c r="FE80" s="833">
        <f t="shared" si="159"/>
        <v>0</v>
      </c>
      <c r="FF80" s="754" t="b">
        <f t="shared" si="160"/>
        <v>0</v>
      </c>
      <c r="FG80" s="754" t="b">
        <f t="shared" si="161"/>
        <v>0</v>
      </c>
      <c r="FH80" s="754" t="b">
        <f t="shared" si="162"/>
        <v>0</v>
      </c>
      <c r="FI80" s="754" t="b">
        <f t="shared" si="163"/>
        <v>0</v>
      </c>
      <c r="FJ80" s="920" t="str">
        <f t="shared" si="177"/>
        <v/>
      </c>
      <c r="FK80" s="919" t="str">
        <f t="shared" si="178"/>
        <v/>
      </c>
      <c r="FL80" s="320" t="e">
        <f t="shared" si="179"/>
        <v>#N/A</v>
      </c>
      <c r="FM80" s="312" t="str">
        <f t="shared" si="164"/>
        <v/>
      </c>
      <c r="FN80" s="272" t="str">
        <f t="shared" ca="1" si="180"/>
        <v/>
      </c>
      <c r="FO80" s="273" t="str">
        <f t="shared" ca="1" si="181"/>
        <v/>
      </c>
      <c r="FP80" s="274" t="str">
        <f t="shared" ca="1" si="182"/>
        <v/>
      </c>
      <c r="FQ80" s="274" t="str">
        <f t="shared" ca="1" si="183"/>
        <v/>
      </c>
      <c r="FR80" s="321">
        <f t="shared" ca="1" si="184"/>
        <v>0</v>
      </c>
      <c r="FS80" s="322">
        <f t="shared" ca="1" si="185"/>
        <v>0</v>
      </c>
      <c r="FT80" s="272" t="str">
        <f t="shared" ca="1" si="186"/>
        <v/>
      </c>
      <c r="FU80" s="275" t="str">
        <f t="shared" ca="1" si="187"/>
        <v/>
      </c>
      <c r="FV80" s="323" t="str">
        <f t="shared" ca="1" si="165"/>
        <v/>
      </c>
      <c r="FW80" s="276" t="str">
        <f t="shared" ca="1" si="188"/>
        <v/>
      </c>
      <c r="FX80" s="276" t="str">
        <f t="shared" ca="1" si="189"/>
        <v/>
      </c>
      <c r="FY80" s="276" t="str">
        <f t="shared" ca="1" si="190"/>
        <v/>
      </c>
      <c r="FZ80" s="276" t="str">
        <f t="shared" ca="1" si="191"/>
        <v/>
      </c>
      <c r="GA80" s="276" t="str">
        <f t="shared" ca="1" si="192"/>
        <v/>
      </c>
      <c r="GB80" s="277" t="str">
        <f ca="1">IF(FY80="","",2+SUM(FO80:OFFSET(FO80,(FU80-1)*-1,0)))</f>
        <v/>
      </c>
      <c r="GC80" s="316" t="e">
        <f t="shared" si="193"/>
        <v>#N/A</v>
      </c>
      <c r="GD80" s="324" t="str">
        <f t="shared" si="166"/>
        <v/>
      </c>
      <c r="GE80" s="325" t="str">
        <f t="shared" si="167"/>
        <v/>
      </c>
      <c r="GF80" s="278" t="str">
        <f t="shared" si="168"/>
        <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1"/>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2"/>
        <v>0</v>
      </c>
      <c r="CU81" s="1316">
        <f t="shared" si="103"/>
        <v>0</v>
      </c>
      <c r="CV81" s="1310" t="str">
        <f t="shared" si="104"/>
        <v/>
      </c>
      <c r="CW81" s="1310" t="str">
        <f t="shared" si="105"/>
        <v/>
      </c>
      <c r="CX81" s="1310" t="str">
        <f t="shared" si="106"/>
        <v/>
      </c>
      <c r="CY81" s="1312">
        <f t="shared" si="107"/>
        <v>0</v>
      </c>
      <c r="CZ81" s="1312">
        <f t="shared" si="108"/>
        <v>0</v>
      </c>
      <c r="DA81" s="1312" t="str">
        <f t="shared" si="109"/>
        <v/>
      </c>
      <c r="DB81" s="1310" t="str">
        <f t="shared" si="173"/>
        <v/>
      </c>
      <c r="DC81" s="1310" t="str">
        <f t="shared" si="110"/>
        <v/>
      </c>
      <c r="DD81" s="875">
        <f t="shared" si="174"/>
        <v>0</v>
      </c>
      <c r="DE81" s="873">
        <f t="shared" si="111"/>
        <v>0</v>
      </c>
      <c r="DF81" s="874">
        <f t="shared" si="112"/>
        <v>0</v>
      </c>
      <c r="DG81" s="874" t="str">
        <f t="shared" si="113"/>
        <v/>
      </c>
      <c r="DH81" s="1310" t="str">
        <f t="shared" si="175"/>
        <v/>
      </c>
      <c r="DI81" s="1310" t="str">
        <f t="shared" si="114"/>
        <v/>
      </c>
      <c r="DJ81" s="1311">
        <f t="shared" si="176"/>
        <v>0</v>
      </c>
      <c r="DK81" s="1310" t="str">
        <f t="shared" si="115"/>
        <v/>
      </c>
      <c r="DL81" s="1310" t="str">
        <f t="shared" si="116"/>
        <v/>
      </c>
      <c r="DM81" s="1310" t="str">
        <f t="shared" si="117"/>
        <v/>
      </c>
      <c r="DN81" s="1310" t="str">
        <f t="shared" si="118"/>
        <v/>
      </c>
      <c r="DO81" s="889" t="str">
        <f t="shared" si="119"/>
        <v>ERR</v>
      </c>
      <c r="DP81" s="889" t="str">
        <f t="shared" si="120"/>
        <v>ERR</v>
      </c>
      <c r="DQ81" s="1310" t="str">
        <f t="shared" si="121"/>
        <v/>
      </c>
      <c r="DR81" s="1310" t="str">
        <f t="shared" si="121"/>
        <v/>
      </c>
      <c r="DS81" s="1310" t="str">
        <f t="shared" si="122"/>
        <v/>
      </c>
      <c r="DT81" s="1310" t="str">
        <f t="shared" si="123"/>
        <v/>
      </c>
      <c r="DU81" s="1310"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
      </c>
      <c r="FL81" s="320" t="e">
        <f t="shared" si="179"/>
        <v>#N/A</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t="e">
        <f t="shared" si="193"/>
        <v>#N/A</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1"/>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2"/>
        <v>0</v>
      </c>
      <c r="CU82" s="1316">
        <f t="shared" si="103"/>
        <v>0</v>
      </c>
      <c r="CV82" s="1310" t="str">
        <f t="shared" si="104"/>
        <v/>
      </c>
      <c r="CW82" s="1310" t="str">
        <f t="shared" si="105"/>
        <v/>
      </c>
      <c r="CX82" s="1310" t="str">
        <f t="shared" si="106"/>
        <v/>
      </c>
      <c r="CY82" s="1312">
        <f t="shared" si="107"/>
        <v>0</v>
      </c>
      <c r="CZ82" s="1312">
        <f t="shared" si="108"/>
        <v>0</v>
      </c>
      <c r="DA82" s="1312" t="str">
        <f t="shared" si="109"/>
        <v/>
      </c>
      <c r="DB82" s="1310" t="str">
        <f t="shared" si="173"/>
        <v/>
      </c>
      <c r="DC82" s="1310" t="str">
        <f t="shared" si="110"/>
        <v/>
      </c>
      <c r="DD82" s="875">
        <f t="shared" si="174"/>
        <v>0</v>
      </c>
      <c r="DE82" s="873">
        <f t="shared" si="111"/>
        <v>0</v>
      </c>
      <c r="DF82" s="874">
        <f t="shared" si="112"/>
        <v>0</v>
      </c>
      <c r="DG82" s="874" t="str">
        <f t="shared" si="113"/>
        <v/>
      </c>
      <c r="DH82" s="1310" t="str">
        <f t="shared" si="175"/>
        <v/>
      </c>
      <c r="DI82" s="1310" t="str">
        <f t="shared" si="114"/>
        <v/>
      </c>
      <c r="DJ82" s="1311">
        <f t="shared" si="176"/>
        <v>0</v>
      </c>
      <c r="DK82" s="1310" t="str">
        <f t="shared" si="115"/>
        <v/>
      </c>
      <c r="DL82" s="1310" t="str">
        <f t="shared" si="116"/>
        <v/>
      </c>
      <c r="DM82" s="1310" t="str">
        <f t="shared" si="117"/>
        <v/>
      </c>
      <c r="DN82" s="1310" t="str">
        <f t="shared" si="118"/>
        <v/>
      </c>
      <c r="DO82" s="889" t="str">
        <f t="shared" si="119"/>
        <v>ERR</v>
      </c>
      <c r="DP82" s="889" t="str">
        <f t="shared" si="120"/>
        <v>ERR</v>
      </c>
      <c r="DQ82" s="1310" t="str">
        <f t="shared" si="121"/>
        <v/>
      </c>
      <c r="DR82" s="1310" t="str">
        <f t="shared" si="121"/>
        <v/>
      </c>
      <c r="DS82" s="1310" t="str">
        <f t="shared" si="122"/>
        <v/>
      </c>
      <c r="DT82" s="1310" t="str">
        <f t="shared" si="123"/>
        <v/>
      </c>
      <c r="DU82" s="1310"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
      </c>
      <c r="FL82" s="320" t="e">
        <f t="shared" si="179"/>
        <v>#N/A</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t="e">
        <f t="shared" si="193"/>
        <v>#N/A</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1"/>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2"/>
        <v>0</v>
      </c>
      <c r="CU83" s="1316">
        <f t="shared" si="103"/>
        <v>0</v>
      </c>
      <c r="CV83" s="1310" t="str">
        <f t="shared" si="104"/>
        <v/>
      </c>
      <c r="CW83" s="1310" t="str">
        <f t="shared" si="105"/>
        <v/>
      </c>
      <c r="CX83" s="1310" t="str">
        <f t="shared" si="106"/>
        <v/>
      </c>
      <c r="CY83" s="1312">
        <f t="shared" si="107"/>
        <v>0</v>
      </c>
      <c r="CZ83" s="1312">
        <f t="shared" si="108"/>
        <v>0</v>
      </c>
      <c r="DA83" s="1312" t="str">
        <f t="shared" si="109"/>
        <v/>
      </c>
      <c r="DB83" s="1310" t="str">
        <f t="shared" si="173"/>
        <v/>
      </c>
      <c r="DC83" s="1310" t="str">
        <f t="shared" si="110"/>
        <v/>
      </c>
      <c r="DD83" s="875">
        <f t="shared" si="174"/>
        <v>0</v>
      </c>
      <c r="DE83" s="873">
        <f t="shared" si="111"/>
        <v>0</v>
      </c>
      <c r="DF83" s="874">
        <f t="shared" si="112"/>
        <v>0</v>
      </c>
      <c r="DG83" s="874" t="str">
        <f t="shared" si="113"/>
        <v/>
      </c>
      <c r="DH83" s="1310" t="str">
        <f t="shared" si="175"/>
        <v/>
      </c>
      <c r="DI83" s="1310" t="str">
        <f t="shared" si="114"/>
        <v/>
      </c>
      <c r="DJ83" s="1311">
        <f t="shared" si="176"/>
        <v>0</v>
      </c>
      <c r="DK83" s="1310" t="str">
        <f t="shared" si="115"/>
        <v/>
      </c>
      <c r="DL83" s="1310" t="str">
        <f t="shared" si="116"/>
        <v/>
      </c>
      <c r="DM83" s="1310" t="str">
        <f t="shared" si="117"/>
        <v/>
      </c>
      <c r="DN83" s="1310" t="str">
        <f t="shared" si="118"/>
        <v/>
      </c>
      <c r="DO83" s="889" t="str">
        <f t="shared" si="119"/>
        <v>ERR</v>
      </c>
      <c r="DP83" s="889" t="str">
        <f t="shared" si="120"/>
        <v>ERR</v>
      </c>
      <c r="DQ83" s="1310" t="str">
        <f t="shared" si="121"/>
        <v/>
      </c>
      <c r="DR83" s="1310" t="str">
        <f t="shared" si="121"/>
        <v/>
      </c>
      <c r="DS83" s="1310" t="str">
        <f t="shared" si="122"/>
        <v/>
      </c>
      <c r="DT83" s="1310" t="str">
        <f t="shared" si="123"/>
        <v/>
      </c>
      <c r="DU83" s="1310"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
      </c>
      <c r="FL83" s="320" t="e">
        <f t="shared" si="179"/>
        <v>#N/A</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t="e">
        <f t="shared" si="193"/>
        <v>#N/A</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1"/>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2"/>
        <v>0</v>
      </c>
      <c r="CU84" s="1316">
        <f t="shared" si="103"/>
        <v>0</v>
      </c>
      <c r="CV84" s="1310" t="str">
        <f t="shared" si="104"/>
        <v/>
      </c>
      <c r="CW84" s="1310" t="str">
        <f t="shared" si="105"/>
        <v/>
      </c>
      <c r="CX84" s="1310" t="str">
        <f t="shared" si="106"/>
        <v/>
      </c>
      <c r="CY84" s="1312">
        <f t="shared" si="107"/>
        <v>0</v>
      </c>
      <c r="CZ84" s="1312">
        <f t="shared" si="108"/>
        <v>0</v>
      </c>
      <c r="DA84" s="1312" t="str">
        <f t="shared" si="109"/>
        <v/>
      </c>
      <c r="DB84" s="1310" t="str">
        <f t="shared" si="173"/>
        <v/>
      </c>
      <c r="DC84" s="1310" t="str">
        <f t="shared" si="110"/>
        <v/>
      </c>
      <c r="DD84" s="875">
        <f t="shared" si="174"/>
        <v>0</v>
      </c>
      <c r="DE84" s="873">
        <f t="shared" si="111"/>
        <v>0</v>
      </c>
      <c r="DF84" s="874">
        <f t="shared" si="112"/>
        <v>0</v>
      </c>
      <c r="DG84" s="874" t="str">
        <f t="shared" si="113"/>
        <v/>
      </c>
      <c r="DH84" s="1310" t="str">
        <f t="shared" si="175"/>
        <v/>
      </c>
      <c r="DI84" s="1310" t="str">
        <f t="shared" si="114"/>
        <v/>
      </c>
      <c r="DJ84" s="1311">
        <f t="shared" si="176"/>
        <v>0</v>
      </c>
      <c r="DK84" s="1310" t="str">
        <f t="shared" si="115"/>
        <v/>
      </c>
      <c r="DL84" s="1310" t="str">
        <f t="shared" si="116"/>
        <v/>
      </c>
      <c r="DM84" s="1310" t="str">
        <f t="shared" si="117"/>
        <v/>
      </c>
      <c r="DN84" s="1310" t="str">
        <f t="shared" si="118"/>
        <v/>
      </c>
      <c r="DO84" s="889" t="str">
        <f t="shared" si="119"/>
        <v>ERR</v>
      </c>
      <c r="DP84" s="889" t="str">
        <f t="shared" si="120"/>
        <v>ERR</v>
      </c>
      <c r="DQ84" s="1310" t="str">
        <f t="shared" si="121"/>
        <v/>
      </c>
      <c r="DR84" s="1310" t="str">
        <f t="shared" si="121"/>
        <v/>
      </c>
      <c r="DS84" s="1310" t="str">
        <f t="shared" si="122"/>
        <v/>
      </c>
      <c r="DT84" s="1310" t="str">
        <f t="shared" si="123"/>
        <v/>
      </c>
      <c r="DU84" s="1310"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
      </c>
      <c r="FL84" s="320" t="e">
        <f t="shared" si="179"/>
        <v>#N/A</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t="e">
        <f t="shared" si="193"/>
        <v>#N/A</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1"/>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2"/>
        <v>0</v>
      </c>
      <c r="CU85" s="1316">
        <f t="shared" si="103"/>
        <v>0</v>
      </c>
      <c r="CV85" s="1310" t="str">
        <f t="shared" si="104"/>
        <v/>
      </c>
      <c r="CW85" s="1310" t="str">
        <f t="shared" si="105"/>
        <v/>
      </c>
      <c r="CX85" s="1310" t="str">
        <f t="shared" si="106"/>
        <v/>
      </c>
      <c r="CY85" s="1312">
        <f t="shared" si="107"/>
        <v>0</v>
      </c>
      <c r="CZ85" s="1312">
        <f t="shared" si="108"/>
        <v>0</v>
      </c>
      <c r="DA85" s="1312" t="str">
        <f t="shared" si="109"/>
        <v/>
      </c>
      <c r="DB85" s="1310" t="str">
        <f t="shared" si="173"/>
        <v/>
      </c>
      <c r="DC85" s="1310" t="str">
        <f t="shared" si="110"/>
        <v/>
      </c>
      <c r="DD85" s="875">
        <f t="shared" si="174"/>
        <v>0</v>
      </c>
      <c r="DE85" s="873">
        <f t="shared" si="111"/>
        <v>0</v>
      </c>
      <c r="DF85" s="874">
        <f t="shared" si="112"/>
        <v>0</v>
      </c>
      <c r="DG85" s="874" t="str">
        <f t="shared" si="113"/>
        <v/>
      </c>
      <c r="DH85" s="1310" t="str">
        <f t="shared" si="175"/>
        <v/>
      </c>
      <c r="DI85" s="1310" t="str">
        <f t="shared" si="114"/>
        <v/>
      </c>
      <c r="DJ85" s="1311">
        <f t="shared" si="176"/>
        <v>0</v>
      </c>
      <c r="DK85" s="1310" t="str">
        <f t="shared" si="115"/>
        <v/>
      </c>
      <c r="DL85" s="1310" t="str">
        <f t="shared" si="116"/>
        <v/>
      </c>
      <c r="DM85" s="1310" t="str">
        <f t="shared" si="117"/>
        <v/>
      </c>
      <c r="DN85" s="1310" t="str">
        <f t="shared" si="118"/>
        <v/>
      </c>
      <c r="DO85" s="889" t="str">
        <f t="shared" si="119"/>
        <v>ERR</v>
      </c>
      <c r="DP85" s="889" t="str">
        <f t="shared" si="120"/>
        <v>ERR</v>
      </c>
      <c r="DQ85" s="1310" t="str">
        <f t="shared" si="121"/>
        <v/>
      </c>
      <c r="DR85" s="1310" t="str">
        <f t="shared" si="121"/>
        <v/>
      </c>
      <c r="DS85" s="1310" t="str">
        <f t="shared" si="122"/>
        <v/>
      </c>
      <c r="DT85" s="1310" t="str">
        <f t="shared" si="123"/>
        <v/>
      </c>
      <c r="DU85" s="1310"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
      </c>
      <c r="FL85" s="327" t="e">
        <f t="shared" si="179"/>
        <v>#N/A</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t="e">
        <f t="shared" si="193"/>
        <v>#N/A</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0"/>
      <c r="AA86" s="947"/>
      <c r="AB86" s="948"/>
    </row>
    <row r="87" spans="1:193" ht="15" hidden="1" customHeight="1" x14ac:dyDescent="0.25">
      <c r="A87" s="1214" t="str">
        <f>IF(ISBLANK(CB87),"",CB87)</f>
        <v/>
      </c>
      <c r="B87" s="1678" t="str">
        <f t="shared" ref="B87" si="196">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algorithmName="SHA-512" hashValue="NaKYLfXQtT9BR0/jtO5XifE6+KmIh+gJrhAwICeKUPokmRT5lgGTDuFc7zN12cqrveiMaQ2+6dAeid07GvsA3A==" saltValue="ulQ7j+kQK1hsvfrrfaSQ6A==" spinCount="100000" sheet="1" objects="1" scenarios="1" selectLockedCells="1"/>
  <mergeCells count="314">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IT12:IT13"/>
    <mergeCell ref="IU12:IU13"/>
    <mergeCell ref="IV12:IV13"/>
    <mergeCell ref="IW12:IW13"/>
    <mergeCell ref="IL12:IL13"/>
    <mergeCell ref="IM12:IM13"/>
    <mergeCell ref="IN12:IN13"/>
    <mergeCell ref="IO12:IO13"/>
    <mergeCell ref="IP12:IP13"/>
    <mergeCell ref="IQ12:IQ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GF12:GF13"/>
    <mergeCell ref="GG12:GH12"/>
    <mergeCell ref="GI12:GJ12"/>
    <mergeCell ref="GK12:GK13"/>
    <mergeCell ref="GL12:GL13"/>
    <mergeCell ref="GM12:GM13"/>
    <mergeCell ref="EN12:EP12"/>
    <mergeCell ref="EQ12:EQ13"/>
    <mergeCell ref="ER12:ES12"/>
    <mergeCell ref="GA12:GB12"/>
    <mergeCell ref="GC12:GD12"/>
    <mergeCell ref="GE12:GE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DL12:DL13"/>
    <mergeCell ref="DM12:DN13"/>
    <mergeCell ref="DQ12:DQ13"/>
    <mergeCell ref="DS12:DS13"/>
    <mergeCell ref="DT12:DU12"/>
    <mergeCell ref="DV12:DW12"/>
    <mergeCell ref="CX12:CZ12"/>
    <mergeCell ref="DA12:DA13"/>
    <mergeCell ref="DD12:DD13"/>
    <mergeCell ref="DE12:DE13"/>
    <mergeCell ref="DI12:DI13"/>
    <mergeCell ref="DJ12:D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S12:W12"/>
    <mergeCell ref="X12:Y12"/>
    <mergeCell ref="AA12:AA13"/>
    <mergeCell ref="B12:B13"/>
    <mergeCell ref="C12:C13"/>
    <mergeCell ref="D12:E13"/>
    <mergeCell ref="F12:F13"/>
    <mergeCell ref="G12:I12"/>
    <mergeCell ref="J12:L12"/>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s>
  <conditionalFormatting sqref="FQ54:FR85">
    <cfRule type="cellIs" dxfId="620" priority="58" stopIfTrue="1" operator="lessThan">
      <formula>0</formula>
    </cfRule>
  </conditionalFormatting>
  <conditionalFormatting sqref="DI14">
    <cfRule type="expression" dxfId="619" priority="48">
      <formula>UPPER(#REF!)="X"</formula>
    </cfRule>
  </conditionalFormatting>
  <conditionalFormatting sqref="DJ14">
    <cfRule type="expression" dxfId="618" priority="59">
      <formula>OR(UPPER(#REF!)="X",UPPER(#REF!="X"))</formula>
    </cfRule>
  </conditionalFormatting>
  <conditionalFormatting sqref="DK14">
    <cfRule type="expression" dxfId="617" priority="60">
      <formula>OR(UPPER(#REF!)="X",UPPER(#REF!="X"))</formula>
    </cfRule>
  </conditionalFormatting>
  <conditionalFormatting sqref="Q2:T4 AU2:AX4">
    <cfRule type="cellIs" dxfId="616" priority="62" stopIfTrue="1" operator="equal">
      <formula>""</formula>
    </cfRule>
  </conditionalFormatting>
  <conditionalFormatting sqref="DM54:DM85">
    <cfRule type="cellIs" dxfId="615" priority="57" stopIfTrue="1" operator="notEqual">
      <formula>DN54</formula>
    </cfRule>
  </conditionalFormatting>
  <conditionalFormatting sqref="DT54:DT85">
    <cfRule type="cellIs" dxfId="614" priority="56" stopIfTrue="1" operator="notEqual">
      <formula>DU54</formula>
    </cfRule>
  </conditionalFormatting>
  <conditionalFormatting sqref="DA4">
    <cfRule type="expression" dxfId="613" priority="55" stopIfTrue="1">
      <formula>NOT(ISBLANK($DA$4))</formula>
    </cfRule>
  </conditionalFormatting>
  <conditionalFormatting sqref="M7">
    <cfRule type="expression" dxfId="612" priority="53" stopIfTrue="1">
      <formula>OR(ISBLANK($M$7),$M$7="")</formula>
    </cfRule>
    <cfRule type="expression" dxfId="611" priority="54" stopIfTrue="1">
      <formula>NOT(OR(COUNTIF(masterFinishList, $M$7) &gt; 0, COUNTIF($M$7, "Other:*") &gt; 0))</formula>
    </cfRule>
  </conditionalFormatting>
  <conditionalFormatting sqref="A14:B45 A87:B87">
    <cfRule type="expression" dxfId="610" priority="40" stopIfTrue="1">
      <formula>AND(NOT($BK$1),$B14=0,OR($BJ$1="",$BJ$1="M"))</formula>
    </cfRule>
  </conditionalFormatting>
  <conditionalFormatting sqref="C14:C45">
    <cfRule type="expression" dxfId="609" priority="46">
      <formula>AND(NOT($BK14),NOT(BR14))</formula>
    </cfRule>
  </conditionalFormatting>
  <conditionalFormatting sqref="U14:U45">
    <cfRule type="expression" dxfId="608" priority="51">
      <formula>AND(NOT($BK14),BV14="No")</formula>
    </cfRule>
  </conditionalFormatting>
  <conditionalFormatting sqref="V14:V45">
    <cfRule type="expression" dxfId="607" priority="52">
      <formula>AND(NOT($BK14),BV14="No")</formula>
    </cfRule>
  </conditionalFormatting>
  <conditionalFormatting sqref="S14:S45">
    <cfRule type="expression" dxfId="606" priority="49">
      <formula>AND(NOT($BK14),BT14="No")</formula>
    </cfRule>
  </conditionalFormatting>
  <conditionalFormatting sqref="T14:T45">
    <cfRule type="expression" dxfId="605" priority="50">
      <formula>AND(NOT($BK14),BT14="No")</formula>
    </cfRule>
  </conditionalFormatting>
  <conditionalFormatting sqref="W14:W45">
    <cfRule type="expression" dxfId="604" priority="36">
      <formula>$W14=0</formula>
    </cfRule>
  </conditionalFormatting>
  <conditionalFormatting sqref="DI15:DI45">
    <cfRule type="expression" dxfId="603" priority="61">
      <formula>FM54="X"</formula>
    </cfRule>
  </conditionalFormatting>
  <conditionalFormatting sqref="DJ15:DJ45">
    <cfRule type="expression" dxfId="602" priority="63">
      <formula>FM54="X"</formula>
    </cfRule>
  </conditionalFormatting>
  <conditionalFormatting sqref="DK15:DK45">
    <cfRule type="expression" dxfId="601" priority="64">
      <formula>FM54="X"</formula>
    </cfRule>
  </conditionalFormatting>
  <conditionalFormatting sqref="DT14:DU45">
    <cfRule type="expression" dxfId="600" priority="65">
      <formula>GD54=0</formula>
    </cfRule>
  </conditionalFormatting>
  <conditionalFormatting sqref="DH14:DH45">
    <cfRule type="expression" dxfId="599" priority="15">
      <formula>NOT($FQ14)</formula>
    </cfRule>
    <cfRule type="expression" dxfId="598" priority="66">
      <formula>FJ54="G"</formula>
    </cfRule>
  </conditionalFormatting>
  <conditionalFormatting sqref="DM14:DN45">
    <cfRule type="expression" dxfId="597" priority="67">
      <formula>FIND("B",$GK54)</formula>
    </cfRule>
  </conditionalFormatting>
  <conditionalFormatting sqref="DJ14:DK45">
    <cfRule type="expression" dxfId="596" priority="68">
      <formula>FIND("A",$GK54)</formula>
    </cfRule>
  </conditionalFormatting>
  <conditionalFormatting sqref="DL14:DL45">
    <cfRule type="expression" dxfId="595" priority="3">
      <formula>AND(NOT(ISBLANK($DH14)),ISBLANK($DL14))</formula>
    </cfRule>
    <cfRule type="expression" dxfId="594" priority="47">
      <formula>FIND("B",$GK54)</formula>
    </cfRule>
  </conditionalFormatting>
  <conditionalFormatting sqref="DI14:DI45">
    <cfRule type="expression" dxfId="593" priority="69">
      <formula>NOT($EY14)</formula>
    </cfRule>
  </conditionalFormatting>
  <conditionalFormatting sqref="DQ14:DQ45">
    <cfRule type="expression" dxfId="592" priority="39">
      <formula>DQ14&lt;&gt;EZ14</formula>
    </cfRule>
  </conditionalFormatting>
  <conditionalFormatting sqref="AD87:AE87 AD14:AE45">
    <cfRule type="expression" dxfId="591" priority="43">
      <formula>AND(NOT($BZ14),FIND("A",$GK54))</formula>
    </cfRule>
  </conditionalFormatting>
  <conditionalFormatting sqref="AI87:AJ87 AI14:AJ45">
    <cfRule type="expression" dxfId="590" priority="44">
      <formula>AND(NOT($BZ14),FIND("B",$GK54))</formula>
    </cfRule>
  </conditionalFormatting>
  <conditionalFormatting sqref="AC14:AC45">
    <cfRule type="expression" dxfId="589" priority="45">
      <formula>AND(NOT($BZ14),NOT($EY14))</formula>
    </cfRule>
  </conditionalFormatting>
  <conditionalFormatting sqref="AM14:AM45">
    <cfRule type="expression" dxfId="588" priority="41">
      <formula>AND(NOT($BZ14),AM14&lt;&gt;EZ14)</formula>
    </cfRule>
  </conditionalFormatting>
  <conditionalFormatting sqref="FF14:FF45">
    <cfRule type="expression" dxfId="587" priority="42">
      <formula>$FC14=0</formula>
    </cfRule>
  </conditionalFormatting>
  <conditionalFormatting sqref="AD14:AJ45">
    <cfRule type="expression" dxfId="586" priority="38">
      <formula>AND(NOT($BZ14),NOT($FA14))</formula>
    </cfRule>
  </conditionalFormatting>
  <conditionalFormatting sqref="DB14:DC45">
    <cfRule type="expression" dxfId="585" priority="37">
      <formula>AND(NOT($BK14),LEN($Z14)&gt;27)</formula>
    </cfRule>
  </conditionalFormatting>
  <conditionalFormatting sqref="C87">
    <cfRule type="expression" dxfId="584" priority="30" stopIfTrue="1">
      <formula>AND(NOT($BK87),NOT(BR87))</formula>
    </cfRule>
  </conditionalFormatting>
  <conditionalFormatting sqref="U87">
    <cfRule type="expression" dxfId="583" priority="34" stopIfTrue="1">
      <formula>AND(NOT($BK87),BV87="No")</formula>
    </cfRule>
  </conditionalFormatting>
  <conditionalFormatting sqref="V87">
    <cfRule type="expression" dxfId="582" priority="35" stopIfTrue="1">
      <formula>AND(NOT($BK87),BV87="No")</formula>
    </cfRule>
  </conditionalFormatting>
  <conditionalFormatting sqref="S87">
    <cfRule type="expression" dxfId="581" priority="32" stopIfTrue="1">
      <formula>AND(NOT($BK87),BT87="No")</formula>
    </cfRule>
  </conditionalFormatting>
  <conditionalFormatting sqref="T87">
    <cfRule type="expression" dxfId="580" priority="33" stopIfTrue="1">
      <formula>AND(NOT($BK87),BT87="No")</formula>
    </cfRule>
  </conditionalFormatting>
  <conditionalFormatting sqref="W87">
    <cfRule type="expression" dxfId="579" priority="22">
      <formula>$W87=0</formula>
    </cfRule>
  </conditionalFormatting>
  <conditionalFormatting sqref="AR87:AS87 AR14:AS45">
    <cfRule type="expression" dxfId="578" priority="25">
      <formula>AND(NOT($BZ14),$FF54)</formula>
    </cfRule>
  </conditionalFormatting>
  <conditionalFormatting sqref="AV87:AW87 AV14:AW45">
    <cfRule type="expression" dxfId="577" priority="26">
      <formula>AND(NOT($BZ14),$FG54)</formula>
    </cfRule>
  </conditionalFormatting>
  <conditionalFormatting sqref="AZ87:BA87 AZ14:BA45">
    <cfRule type="expression" dxfId="576" priority="27">
      <formula>AND(NOT($BZ14),$FH54)</formula>
    </cfRule>
  </conditionalFormatting>
  <conditionalFormatting sqref="BD87:BE87 BD14:BE45">
    <cfRule type="expression" dxfId="575" priority="28">
      <formula>AND(NOT($BZ14),$FI54)</formula>
    </cfRule>
  </conditionalFormatting>
  <conditionalFormatting sqref="AC87">
    <cfRule type="expression" dxfId="574" priority="29">
      <formula>AND(NOT($BZ87),NOT($EY87))</formula>
    </cfRule>
  </conditionalFormatting>
  <conditionalFormatting sqref="AM87">
    <cfRule type="expression" dxfId="573" priority="24">
      <formula>AND(NOT($BZ87),AM87&lt;&gt;EZ87)</formula>
    </cfRule>
  </conditionalFormatting>
  <conditionalFormatting sqref="AD87:AJ87">
    <cfRule type="expression" dxfId="572" priority="23">
      <formula>AND(NOT($BZ87),NOT($FA87))</formula>
    </cfRule>
  </conditionalFormatting>
  <conditionalFormatting sqref="AA87 A87:Y87">
    <cfRule type="expression" dxfId="571" priority="31">
      <formula>$BI87</formula>
    </cfRule>
  </conditionalFormatting>
  <conditionalFormatting sqref="AB87:BG87">
    <cfRule type="expression" dxfId="570" priority="21">
      <formula>$CA87</formula>
    </cfRule>
  </conditionalFormatting>
  <conditionalFormatting sqref="CD14:CD45">
    <cfRule type="expression" dxfId="569" priority="16">
      <formula>AND(NOT($BK14),NOT($BR14))</formula>
    </cfRule>
  </conditionalFormatting>
  <conditionalFormatting sqref="DD14:DD45">
    <cfRule type="cellIs" dxfId="568" priority="17" operator="greaterThan">
      <formula>EY54</formula>
    </cfRule>
    <cfRule type="expression" dxfId="567" priority="18">
      <formula>AND(ISBLANK(DD14),EY54&gt;0)</formula>
    </cfRule>
  </conditionalFormatting>
  <conditionalFormatting sqref="DE14:DE45">
    <cfRule type="cellIs" dxfId="566" priority="19" operator="lessThan">
      <formula>EX54</formula>
    </cfRule>
    <cfRule type="expression" dxfId="565" priority="20">
      <formula>AND(ISBLANK(DE14),EX54&lt;&gt;"")</formula>
    </cfRule>
  </conditionalFormatting>
  <conditionalFormatting sqref="AB14:AO45 DH14:EK45 BF14:BG45">
    <cfRule type="expression" dxfId="564" priority="70">
      <formula>$FP14</formula>
    </cfRule>
  </conditionalFormatting>
  <conditionalFormatting sqref="A14:Y45 AA14:AA45 DA14:DE45 CB14:CY45">
    <cfRule type="expression" dxfId="563" priority="71">
      <formula>$FN14</formula>
    </cfRule>
  </conditionalFormatting>
  <conditionalFormatting sqref="AB14:AB45">
    <cfRule type="expression" dxfId="562" priority="14">
      <formula>NOT($FQ14)</formula>
    </cfRule>
  </conditionalFormatting>
  <conditionalFormatting sqref="CB14:CB45">
    <cfRule type="expression" dxfId="561" priority="4">
      <formula>NOT($FO14)</formula>
    </cfRule>
  </conditionalFormatting>
  <conditionalFormatting sqref="A14:A45">
    <cfRule type="expression" dxfId="560" priority="12">
      <formula>NOT($FO14)</formula>
    </cfRule>
  </conditionalFormatting>
  <conditionalFormatting sqref="CZ14:CZ45">
    <cfRule type="expression" dxfId="559" priority="11">
      <formula>$FN14</formula>
    </cfRule>
  </conditionalFormatting>
  <conditionalFormatting sqref="Z87">
    <cfRule type="expression" dxfId="558" priority="9">
      <formula>$FN87</formula>
    </cfRule>
  </conditionalFormatting>
  <conditionalFormatting sqref="Z87">
    <cfRule type="expression" dxfId="557" priority="10">
      <formula>AND(NOT($BK87),LEN($Z87)&gt;27)</formula>
    </cfRule>
  </conditionalFormatting>
  <conditionalFormatting sqref="Z14:Z45">
    <cfRule type="expression" dxfId="556" priority="7">
      <formula>$FN14</formula>
    </cfRule>
  </conditionalFormatting>
  <conditionalFormatting sqref="Z14:Z45">
    <cfRule type="expression" dxfId="555" priority="8">
      <formula>AND(NOT($BK14),LEN($Z14)&gt;27)</formula>
    </cfRule>
  </conditionalFormatting>
  <conditionalFormatting sqref="AP14:AQ45">
    <cfRule type="expression" dxfId="554" priority="6">
      <formula>$FP14</formula>
    </cfRule>
  </conditionalFormatting>
  <conditionalFormatting sqref="AR14:BE45">
    <cfRule type="expression" dxfId="553" priority="5">
      <formula>$FP14</formula>
    </cfRule>
  </conditionalFormatting>
  <conditionalFormatting sqref="CB14:CC45">
    <cfRule type="expression" dxfId="552" priority="13">
      <formula>AND(NOT($BK$1),$B14=0,OR($BJ$1="",$BJ$1="M"))</formula>
    </cfRule>
  </conditionalFormatting>
  <conditionalFormatting sqref="CJ14:CJ45">
    <cfRule type="expression" dxfId="551" priority="72">
      <formula>AND(NOT($BK14),OR($CC54="M",$CC54="C",$CC54="G"))</formula>
    </cfRule>
    <cfRule type="expression" dxfId="550" priority="73">
      <formula>AND(NOT($BK14),AND(OR($CC54="B",$CC54="G"),CJ14="",CK14=""))</formula>
    </cfRule>
    <cfRule type="expression" dxfId="549" priority="74">
      <formula>AND(NOT($BK14),EG54="ERR")</formula>
    </cfRule>
  </conditionalFormatting>
  <conditionalFormatting sqref="CK14:CK45">
    <cfRule type="expression" dxfId="548" priority="75">
      <formula>AND(NOT($BK14),OR($CC54="M",$CC54="C",$CC54="G"))</formula>
    </cfRule>
    <cfRule type="expression" dxfId="547" priority="76">
      <formula>AND(NOT($BK14),AND(OR($CC54="B",$CC54="G"),CJ14="",CK14=""))</formula>
    </cfRule>
    <cfRule type="expression" dxfId="546" priority="77">
      <formula>AND(NOT($BK14),EG54="ERR")</formula>
    </cfRule>
  </conditionalFormatting>
  <conditionalFormatting sqref="CH14:CH45">
    <cfRule type="expression" dxfId="545" priority="78">
      <formula>AND(NOT($BK14),OR($CC54="M",$CC54="C"))</formula>
    </cfRule>
    <cfRule type="expression" dxfId="544" priority="79">
      <formula>AND(NOT($BK14),AND(CH14="",CI14="",OR($CC54="B",$CC54="G")))</formula>
    </cfRule>
    <cfRule type="expression" dxfId="543" priority="80">
      <formula>AND(NOT($BK14),(CH14/2)/COS(RADIANS(CL14))+CD54-DC54&lt;$FB$4)</formula>
    </cfRule>
  </conditionalFormatting>
  <conditionalFormatting sqref="CI14:CI45">
    <cfRule type="expression" dxfId="542" priority="81">
      <formula>AND(NOT($BK14),OR($CC54="M",$CC54="C"))</formula>
    </cfRule>
    <cfRule type="expression" dxfId="541" priority="82">
      <formula>AND(NOT($BK14),AND(CH14="",CI14="",OR($CC54="B",$CC54="G")))</formula>
    </cfRule>
    <cfRule type="expression" dxfId="540" priority="83">
      <formula>AND(NOT($BK14),(CI14/2)/COS(RADIANS(CL14))+CD54-DC54&lt;$FB$4)</formula>
    </cfRule>
  </conditionalFormatting>
  <conditionalFormatting sqref="CT14:CT45">
    <cfRule type="expression" dxfId="539" priority="84">
      <formula>AND(NOT($BK14),OR($CL54="M",$CL54="C",$CL54="G"))</formula>
    </cfRule>
    <cfRule type="expression" dxfId="538" priority="85">
      <formula>AND(NOT($BK14),AND(OR($CL54="B",$CL54="G"),CT14="",CU14=""))</formula>
    </cfRule>
    <cfRule type="expression" dxfId="537" priority="86">
      <formula>AND(NOT($BK14),EJ54="ERR")</formula>
    </cfRule>
  </conditionalFormatting>
  <conditionalFormatting sqref="CU14:CU45">
    <cfRule type="expression" dxfId="536" priority="87">
      <formula>AND(NOT($BK14),OR($CL54="M",$CL54="C",$CL54="G"))</formula>
    </cfRule>
    <cfRule type="expression" dxfId="535" priority="88">
      <formula>AND(NOT($BK14),AND(OR($CL54="B",$CL54="G"),CT14="",CU14=""))</formula>
    </cfRule>
    <cfRule type="expression" dxfId="534" priority="89">
      <formula>AND(NOT($BK14),EJ54="ERR")</formula>
    </cfRule>
  </conditionalFormatting>
  <conditionalFormatting sqref="CR14:CR45">
    <cfRule type="expression" dxfId="533" priority="90">
      <formula>AND(NOT($BK14),OR($CL54="M",$CL54="C"))</formula>
    </cfRule>
    <cfRule type="expression" dxfId="532" priority="91">
      <formula>AND(NOT($BK14),AND(CR14="",CS14="",OR($CL54="B",$CL54="G")))</formula>
    </cfRule>
    <cfRule type="expression" dxfId="531" priority="92">
      <formula>AND(NOT($BK14),(CR14/2)/COS(RADIANS(CV14))+CM54-DI54&lt;$FB$4)</formula>
    </cfRule>
  </conditionalFormatting>
  <conditionalFormatting sqref="CS14:CS45">
    <cfRule type="expression" dxfId="530" priority="93">
      <formula>AND(NOT($BK14),OR($CL54="M",$CL54="C"))</formula>
    </cfRule>
    <cfRule type="expression" dxfId="529" priority="94">
      <formula>AND(NOT($BK14),AND(CR14="",CS14="",OR($CL54="B",$CL54="G")))</formula>
    </cfRule>
    <cfRule type="expression" dxfId="528" priority="95">
      <formula>AND(NOT($BK14),(CS14/2)/COS(RADIANS(CV14))+CM54-DI54&lt;$FB$4)</formula>
    </cfRule>
  </conditionalFormatting>
  <conditionalFormatting sqref="CW14:CW45 CM14:CM45">
    <cfRule type="expression" dxfId="527" priority="96">
      <formula>AND(NOT($BK14),AND(ISBLANK(CM14),AND(NOT(ISBLANK(CL14)),$DA14&lt;&gt;0)))</formula>
    </cfRule>
  </conditionalFormatting>
  <conditionalFormatting sqref="GA48:GB48">
    <cfRule type="expression" dxfId="526" priority="2" stopIfTrue="1">
      <formula>$GM50&gt;=0.125</formula>
    </cfRule>
  </conditionalFormatting>
  <conditionalFormatting sqref="CO14:CO45">
    <cfRule type="expression" dxfId="525" priority="97">
      <formula>ET14&lt;&gt;""</formula>
    </cfRule>
  </conditionalFormatting>
  <conditionalFormatting sqref="CY14:CY45">
    <cfRule type="expression" dxfId="524" priority="98">
      <formula>EU14&lt;&gt;""</formula>
    </cfRule>
  </conditionalFormatting>
  <conditionalFormatting sqref="CG14:CG45">
    <cfRule type="expression" dxfId="523" priority="99">
      <formula>AND(NOT($BK14),ISERROR(CC54))</formula>
    </cfRule>
    <cfRule type="expression" dxfId="522" priority="100">
      <formula>AND(NOT($BK14),OR(ISERROR(CC54),CC54="", ET14&lt;&gt;""))</formula>
    </cfRule>
  </conditionalFormatting>
  <conditionalFormatting sqref="CQ14:CQ45">
    <cfRule type="expression" dxfId="521" priority="101">
      <formula>AND(NOT($BK14),ISERROR(CL54))</formula>
    </cfRule>
    <cfRule type="expression" dxfId="520" priority="102">
      <formula>AND(NOT($BK14),OR(CL54="", EU14&lt;&gt;""))</formula>
    </cfRule>
  </conditionalFormatting>
  <conditionalFormatting sqref="DC14:DC45">
    <cfRule type="expression" dxfId="519" priority="103">
      <formula>OR(EN14&lt;&gt;"",EO14&lt;&gt;"",EP14&lt;&gt;"",EQ14&lt;&gt;"",ER14&lt;&gt;"",ES14&lt;&gt;"",ET14&lt;&gt;"",EU14&lt;&gt;"")</formula>
    </cfRule>
  </conditionalFormatting>
  <conditionalFormatting sqref="B87">
    <cfRule type="expression" dxfId="518" priority="1">
      <formula>$FN87</formula>
    </cfRule>
  </conditionalFormatting>
  <conditionalFormatting sqref="D14:E45">
    <cfRule type="expression" dxfId="517" priority="104" stopIfTrue="1">
      <formula xml:space="preserve"> AND($GM14 &gt;= 0.125, $GL14 &gt; 0)</formula>
    </cfRule>
  </conditionalFormatting>
  <conditionalFormatting sqref="GA14:GB45">
    <cfRule type="expression" dxfId="516" priority="105" stopIfTrue="1">
      <formula xml:space="preserve"> $GM14 &gt;= 0.125</formula>
    </cfRule>
  </conditionalFormatting>
  <dataValidations count="21">
    <dataValidation type="decimal" allowBlank="1" showInputMessage="1" showErrorMessage="1" error="Load must be blank or a number." sqref="DO14:DO45" xr:uid="{A20753AF-15D1-4F2B-9DC0-0FA06B88A2B9}">
      <formula1>0</formula1>
      <formula2>99</formula2>
    </dataValidation>
    <dataValidation type="whole" operator="greaterThan" allowBlank="1" showInputMessage="1" showErrorMessage="1" errorTitle="Quantity Error" error="Value must be an integer greater than -1000." sqref="B14:B45 CC14:CC45" xr:uid="{A3F92BE9-CE5B-4742-8253-958AD314D7C0}">
      <formula1>-1001</formula1>
    </dataValidation>
    <dataValidation type="whole" operator="notBetween" allowBlank="1" showInputMessage="1" showErrorMessage="1" sqref="B87" xr:uid="{C9BA39E7-E4BD-4E83-82E9-966D96870E25}">
      <formula1>-10001</formula1>
      <formula2>-10000</formula2>
    </dataValidation>
    <dataValidation type="decimal" operator="greaterThan" allowBlank="1" showInputMessage="1" showErrorMessage="1" errorTitle="Input Error" error="Positive Numeric Values Only!" sqref="CP14:CP45 CZ14:CZ45" xr:uid="{2283EB9E-B429-4C38-BB6A-7CCD35A7171E}">
      <formula1>0</formula1>
    </dataValidation>
    <dataValidation type="decimal" allowBlank="1" showInputMessage="1" showErrorMessage="1" errorTitle="Input Error" error="Numbers from 0&quot; to 11 7/8&quot; only!" sqref="GB15" xr:uid="{D1E14678-5B97-4E04-8791-EB5371AE793A}">
      <formula1>0</formula1>
      <formula2>11.875</formula2>
    </dataValidation>
    <dataValidation type="decimal" allowBlank="1" showInputMessage="1" showErrorMessage="1" errorTitle="Input Error" error="Positive numbers from 0&quot; to 11 7/8&quot; only!" sqref="GB14 GB16:GB45 GB48" xr:uid="{C49B3504-01D9-47E2-A43E-BEF2B9DEE852}">
      <formula1>0</formula1>
      <formula2>11.875</formula2>
    </dataValidation>
    <dataValidation type="whole" operator="greaterThanOrEqual" allowBlank="1" showInputMessage="1" showErrorMessage="1" errorTitle="Input Error" error="Positive Integers Only!" sqref="GA14:GA45 GA48" xr:uid="{F46E38EE-FCF6-4E73-A0BE-BC3BECFFB9CA}">
      <formula1>0</formula1>
    </dataValidation>
    <dataValidation type="decimal" allowBlank="1" showInputMessage="1" showErrorMessage="1" errorTitle="Input Error" error="Numeric Values Only!" sqref="GC14:GD45 GC48:GD48 CN14:CN45 CX14:CX45" xr:uid="{127DAC6F-1FE8-401C-A128-0348976CEB32}">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1C54962E-4974-45E4-BD7B-44952024E90E}">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E224B1C-4074-4EBB-8876-D2E46D49FC73}">
      <formula1>9</formula1>
      <formula2>17</formula2>
    </dataValidation>
    <dataValidation type="decimal" operator="greaterThanOrEqual" allowBlank="1" showInputMessage="1" showErrorMessage="1" errorTitle="Input Error" error="Enter a numeric value greater than 1/2&quot;." sqref="AP14:AQ45" xr:uid="{C854C268-A75A-41E3-9012-3EEF59E9591D}">
      <formula1>0.75</formula1>
    </dataValidation>
    <dataValidation type="decimal" operator="lessThanOrEqual" allowBlank="1" showInputMessage="1" showErrorMessage="1" errorTitle="BL Over-Ride Error!" error="Base Length can't be past Girder Overall Length!  See section for Maximum Over-Ride Dimension." sqref="CO14:CO45" xr:uid="{F05B125E-2D22-49B4-93C9-9CDC8297713F}">
      <formula1>$CD54</formula1>
    </dataValidation>
    <dataValidation type="decimal" operator="lessThanOrEqual" allowBlank="1" showInputMessage="1" showErrorMessage="1" errorTitle="BL Over-Ride Error!" error="Base Length can't be past Girder Overall Length!  See section for Maximum Over-Ride Dimension." sqref="CY14:CY45" xr:uid="{3ECD1AF3-085C-43F5-A337-6A6DB042E423}">
      <formula1>$CM54</formula1>
    </dataValidation>
    <dataValidation type="decimal" operator="greaterThan" allowBlank="1" showInputMessage="1" showErrorMessage="1" errorTitle="Dimensional Error" error="Only positive numeric values permitted here." sqref="M14:N45 M87:N87" xr:uid="{1F8858EC-3CBC-4E55-AA80-FEECB0485955}">
      <formula1>0</formula1>
    </dataValidation>
    <dataValidation type="decimal" operator="notEqual" allowBlank="1" showInputMessage="1" showErrorMessage="1" errorTitle="Input Error" error="Enter + or - Numbers Only._x000a_Do NOT use &quot;&lt;&quot; or &quot;&gt;&quot;." sqref="X14:Y45 X87:Y87" xr:uid="{7D8E5255-C0C2-4C13-AD08-4003721ED852}">
      <formula1>0</formula1>
    </dataValidation>
    <dataValidation type="decimal" operator="greaterThanOrEqual" allowBlank="1" showInputMessage="1" showErrorMessage="1" errorTitle="Dimensional Error" error="&quot;Inches&quot; must be a number." sqref="CH14:CK45 CR14:CU45" xr:uid="{7A0EE4D2-DBC3-40F8-9158-D4E1EF2443AA}">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638C5DD4-80D6-4FCD-BD54-2D7CA218FF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B8299F49-2A18-4215-9770-E14E3F8B788C}">
      <formula1>IF(ISERROR(INT(AR14)),AR14="P",INT(AR14)=AR14)</formula1>
    </dataValidation>
    <dataValidation type="whole" operator="greaterThanOrEqual" allowBlank="1" showErrorMessage="1" errorTitle="Error" error="&quot;Number of Panels&quot; can only be whole numbers." sqref="DL14:DL45 AF87 AF14:AF45" xr:uid="{58F97429-69EB-4BA8-8522-D3AEC6E9BF1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285042AA-7EFF-41BA-887F-425D701BB9B1}">
      <formula1>0</formula1>
    </dataValidation>
    <dataValidation type="list" allowBlank="1" showInputMessage="1" sqref="M7:S7 DA4:DB4" xr:uid="{9C7A2E77-FAC5-4D02-A5CD-B14BA23FDEF0}">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9AC40-3356-4BAF-9E91-B58FA4E709CC}">
  <sheetPr codeName="Sheet32">
    <tabColor indexed="43"/>
  </sheetPr>
  <dimension ref="A1:IG76"/>
  <sheetViews>
    <sheetView showGridLines="0" zoomScaleNormal="100" zoomScaleSheetLayoutView="75" workbookViewId="0">
      <selection activeCell="GA23" sqref="G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15 of 19</v>
      </c>
      <c r="Z7" s="658"/>
      <c r="AA7" s="374"/>
      <c r="AB7" s="256"/>
      <c r="AC7" s="1083">
        <v>15</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535</v>
      </c>
      <c r="AB16" s="414"/>
      <c r="AD16" s="415">
        <v>447</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
        <v>1431</v>
      </c>
      <c r="B23" s="1681">
        <v>2</v>
      </c>
      <c r="C23" s="1449" t="s">
        <v>1592</v>
      </c>
      <c r="D23" s="1705">
        <v>40</v>
      </c>
      <c r="E23" s="1778">
        <v>0</v>
      </c>
      <c r="F23" s="1708" t="str">
        <f>IF(DX23=0,"",TRUNC(DX23/12))</f>
        <v/>
      </c>
      <c r="G23" s="1709" t="str">
        <f>IF(DX23=0,"",DX23-(F23*12))</f>
        <v/>
      </c>
      <c r="H23" s="1779" t="str">
        <f>IF(DX23=0,"",CW23)</f>
        <v/>
      </c>
      <c r="I23" s="1705" t="str">
        <f>IF(ED23=0,"",TRUNC(ED23/12))</f>
        <v/>
      </c>
      <c r="J23" s="1709" t="str">
        <f>IF(ED23=0,"",ED23-(I23*12))</f>
        <v/>
      </c>
      <c r="K23" s="1780" t="str">
        <f>IF(ED23=0,"",DG23)</f>
        <v/>
      </c>
      <c r="L23" s="1712">
        <v>5</v>
      </c>
      <c r="M23" s="1713">
        <v>5</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v>0</v>
      </c>
      <c r="U23" s="1709">
        <v>2.25</v>
      </c>
      <c r="V23" s="1705">
        <v>0</v>
      </c>
      <c r="W23" s="1709">
        <v>2</v>
      </c>
      <c r="X23" s="1750">
        <v>4</v>
      </c>
      <c r="Y23" s="1781" t="str">
        <f>FG23</f>
        <v/>
      </c>
      <c r="Z23" s="1782" t="str">
        <f>FL23</f>
        <v/>
      </c>
      <c r="AA23" s="1783" t="s">
        <v>1705</v>
      </c>
      <c r="AB23" s="1413"/>
      <c r="AC23" s="964" t="b">
        <v>0</v>
      </c>
      <c r="AD23" s="441">
        <f t="shared" ref="AD23:AD40" si="1">IF($C23="",0,IF(SUM(AE23:AG23)&gt;0,0,IF(ISERROR(SEARCH("K",$C23,1))=TRUE,0,$B23)))</f>
        <v>0</v>
      </c>
      <c r="AE23" s="442">
        <f t="shared" ref="AE23:AE40" si="2">IF(ISERROR(SEARCH("LH",$C23,1))=TRUE,0,$B23)</f>
        <v>2</v>
      </c>
      <c r="AF23" s="442">
        <f t="shared" ref="AF23:AF40" si="3">IF(ISERROR(SEARCH("JS",$C23))=TRUE,IF(ISERROR(SEARCH("2.5K",$C23))=TRUE,0,$B23),$B23)</f>
        <v>0</v>
      </c>
      <c r="AG23" s="442">
        <f t="shared" ref="AG23:AG40" si="4">IF(ISERROR(SEARCH("HDR",$C23,1))=TRUE,0,$B23)</f>
        <v>0</v>
      </c>
      <c r="AH23" s="443">
        <f t="shared" ref="AH23:AH40" si="5">IF(ISERROR(SEARCH("CJ",$C23,1))=TRUE,0,$B23)</f>
        <v>0</v>
      </c>
      <c r="AI23" s="444" t="b">
        <v>0</v>
      </c>
      <c r="AJ23" s="238">
        <f>IF(OR(ISERROR(VALUE(LEFT(C23,SEARCH(AK23,C23)-1))),AK23=""),0,VALUE(LEFT(C23,SEARCH(AK23,C23)-1)))</f>
        <v>32</v>
      </c>
      <c r="AK23" s="238" t="str">
        <f t="shared" ref="AK23:AK40" si="6">IF(AV23="",AW23,AV23)</f>
        <v>LH</v>
      </c>
      <c r="AL23" s="1290" t="str">
        <f t="shared" ref="AL23:AL40" si="7">IF(AK23="","",IF(ISERROR(SEARCH("/",C23)),IF(VALUE(MID(C23,SEARCH(AK23,C23)+LEN(AK23),LEN(C23)))&gt;25,"",VALUE(MID(C23,SEARCH(AK23,C23)+LEN(AK23),LEN(C23)))),""))</f>
        <v/>
      </c>
      <c r="AM23" s="238">
        <f t="shared" ref="AM23:AM40" si="8">IF(AK23="","",IF(ISERROR(SEARCH("/",C23)),IF(VALUE(MID(C23,SEARCH(AK23,C23)+LEN(AK23),LEN(C23)))&lt;26,"",VALUE(MID(C23,SEARCH(AK23,C23)+LEN(AK23),LEN(C23)))),VALUE(MID(C23,SEARCH(AK23,C23)+LEN(AK23),SEARCH("/",C23)-SEARCH(AK23,C23)-LEN(AK23)))))</f>
        <v>305</v>
      </c>
      <c r="AN23" s="238">
        <f t="shared" ref="AN23:AN40" si="9">IF(AK23="","",IF(AK23="CJ",MID(MID(C23,SEARCH("/",C23)+1,LEN(C23)),1,SEARCH("/",MID(C23,SEARCH("/",C23)+1,LEN(C23)))-1),IF(ISERROR(SEARCH("/",C23)),"",VALUE(MID(C23,SEARCH("/",C23)+1,LEN(C23))))))</f>
        <v>180</v>
      </c>
      <c r="AO23" s="238" t="str">
        <f t="shared" ref="AO23:AO40" si="10">IF(AK23="CJ",VALUE(MID(MID(C23,SEARCH("/",C23)+1,LEN(C23)),SEARCH("/",MID(C23,SEARCH("/",C23)+1,LEN(C23)))+1,LEN(MID(C23,SEARCH("/",C23)+1,LEN(C23))))),"")</f>
        <v/>
      </c>
      <c r="AP23" s="830" t="b">
        <f>IF(ISERROR(AJ23),FALSE,IF(OR(AJ23=0,ISERROR(AL23),ISERROR(AM23),ISERROR(AN23),ISERROR(AO23)),FALSE,IF(AL23&lt;&gt;"",IF(ISERROR(VLOOKUP(SUBSTITUTE(SUBSTITUTE(C23,"R",""),"A",""),TblJoistSize!$A:$A,1,FALSE)),FALSE,TRUE),TRUE)))</f>
        <v>1</v>
      </c>
      <c r="AQ23" s="1038">
        <f t="shared" ref="AQ23:AQ40" si="11">VLOOKUP(AK23,$DF$2:$DN$9,4,FALSE)+IF(LEFT(H23,1)="R",IF(ISNUMBER(F23),F23*12,0)+IF(ISNUMBER(G23),G23,0),0)</f>
        <v>6</v>
      </c>
      <c r="AR23" s="945" t="b">
        <f>IF(IF(ISNUMBER(T23),T23*12,0)+IF(ISNUMBER(U23),U23,0)&gt;0,IF(AND(IF(ISNUMBER(T23),T23*12,0)+IF(ISNUMBER(U23),U23,0)&gt;=VLOOKUP(AU23,$DF$2:$DN$9,8,FALSE)/2+$DQ$2,IF(ISNUMBER(T23),T23*12,0)+IF(ISNUMBER(U23),U23,0)&lt;=(AQ23-(VLOOKUP(AU23,$DF$2:$DN$9,8,FALSE)/2+$DQ$2))+IF(H23="X",2,0)),TRUE,FALSE),FALSE)</f>
        <v>1</v>
      </c>
      <c r="AS23" s="1038">
        <f t="shared" ref="AS23:AS40" si="12">VLOOKUP(AK23,$DF$2:$DN$9,4,FALSE)+IF(LEFT(K23,1)="R",(IF(ISNUMBER(I23),I23*12,0)+IF(ISNUMBER(J23),J23,0)),0)</f>
        <v>6</v>
      </c>
      <c r="AT23" s="945" t="b">
        <f>IF(IF(ISNUMBER(V23),V23*12,0)+IF(ISNUMBER(W23),W23,0)&gt;0,IF(AND((IF(ISNUMBER(V23),V23*12,0)+IF(ISNUMBER(W23),W23,0))&gt;=VLOOKUP(AU23,$DF$2:$DN$9,8,FALSE)/2+$DQ$2,(IF(ISNUMBER(V23),V23*12,0)+IF(ISNUMBER(W23),W23,0))&lt;=(AS23-(VLOOKUP(AU23,$DF$2:$DN$9,8,FALSE)/2+$DQ$2))+IF(K23="X",2,0)),TRUE,FALSE),FALSE)</f>
        <v>1</v>
      </c>
      <c r="AU23" s="1291"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830" t="str">
        <f t="shared" ref="AV23:AV40" si="14">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LH</v>
      </c>
      <c r="AX23" s="830" t="str">
        <f>IF(OR(ISBLANK(A23),A23=""),"",A23)</f>
        <v>J1</v>
      </c>
      <c r="AY23" s="464" t="b">
        <f t="shared" ref="AY23:AY40" si="15">IF($AE$1,IF(AX23=AX22,AY22,IF(AND(AX23&lt;&gt;"",OR(B23=0,B23="")),TRUE,FALSE)),FALSE)</f>
        <v>0</v>
      </c>
      <c r="AZ23" s="856" t="b">
        <f>IF(AND(NOT(ISERROR(AJ23)),AJ23&gt;0),((IF(D23="",0,D23)*12+IF(E23="",0,E23))-(IF(F23="",0,F23)*12+IF(G23="",0,G23))-(IF(I23="",0,I23)*12+IF(J23="",0,J23)))&gt;AJ23*24,"")</f>
        <v>0</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16">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17">IF(ISERROR(DE23),"",IF(DG23="","",IF(DG23="C",DF23,IF(DG23="Q",2,""))))</f>
        <v/>
      </c>
      <c r="CD23" s="1560"/>
      <c r="CE23" s="1573"/>
      <c r="CF23" s="1545"/>
      <c r="CG23" s="984"/>
      <c r="CH23" s="640" t="str">
        <f t="shared" ref="CH23:CH40" si="18">IF(EJ23=EK23,IF(EK23="ERR","ERR",""),CONCATENATE(IF(BM23&lt;0,"NS ","FS "),IF(EK23="ERR","Slot Only",CONCATENATE("Slot @ ",EJ23))))</f>
        <v/>
      </c>
      <c r="CI23" s="641" t="str">
        <f t="shared" ref="CI23:CI40" si="19">IF(EQ23=ER23,IF(ER23="ERR","ERR",""),CONCATENATE(IF(BY23&lt;0,"FS ","NS "),IF(ER23="ERR","Slot Only",CONCATENATE("Slot @ ",EQ23))))</f>
        <v/>
      </c>
      <c r="CJ23" s="642" t="str">
        <f t="shared" ref="CJ23:CJ40" si="20">IF(EV23="","",IF(AND(DB23&lt;&gt;EV23,OR(NOT(ISBLANK(BJ23)),CU23="C")),CONCATENATE("LE slots @ ",DB23," Ga."),IF(AND(DL23&lt;&gt;EV23,OR(NOT(ISBLANK(BV23)),DE23="C")),CONCATENATE("RE slots @ ",DL23," Ga."),"")))</f>
        <v/>
      </c>
      <c r="CK23" s="851" t="str">
        <f t="shared" ref="CK23:CK40" si="21">IF(AND(CP23&lt;&gt;"",BM23&lt;&gt;"",CQ23&lt;&gt;"",BY23&lt;&gt;""),"BE",IF(AND(CP23&lt;&gt;"",BM23&lt;&gt;""),"LE",IF(AND(CQ23&lt;&gt;"",BY23&lt;&gt;""),"RE","")))</f>
        <v/>
      </c>
      <c r="CL23" s="845" t="str">
        <f t="shared" ref="CL23:CL40" si="22">IF(BQ23="","",IF(CEILING(DV23,0.125)&lt;=DW23+VLOOKUP(AU23,$DF$2:$DI$9,4,FALSE),"",CEILING(DV23,0.125)))</f>
        <v/>
      </c>
      <c r="CM23" s="846" t="str">
        <f t="shared" ref="CM23:CM40" si="23">IF(CC23="","",IF(CEILING(EB23,0.125)&lt;=EC23+VLOOKUP(AU23,$DF$2:$DI$9,4,FALSE),"",CEILING(EB23,0.125)))</f>
        <v/>
      </c>
      <c r="CN23" s="609" t="str">
        <f t="shared" ref="CN23:CN40" si="24">IF(AND(CE23&lt;&gt;0,BM23&lt;&gt;0),CE23*COS(RADIANS(90-BM23))/(1/COS(RADIANS(90-BM23)))*-1,"")</f>
        <v/>
      </c>
      <c r="CO23" s="610" t="str">
        <f t="shared" ref="CO23:CO40" si="25">IF(AND(CE23&lt;&gt;0,BY23&lt;&gt;0),CE23*COS(RADIANS(90-BY23))/(1/COS(RADIANS(90-BY23))),"")</f>
        <v/>
      </c>
      <c r="CP23" s="613" t="str">
        <f t="shared" ref="CP23:CP40" si="26">IF(BG23="","",IF(AU23="JS","",IF(VLOOKUP(AU23,$DF$2:$DN$9,5,FALSE)&gt;FO23,IF(FO23&gt;=0.0625,CEILING(FO23-0.0625,0.125),FO23),"")))</f>
        <v/>
      </c>
      <c r="CQ23" s="614" t="str">
        <f t="shared" ref="CQ23:CQ40" si="27">IF(BS23="","",IF(AU23="JS","",IF(VLOOKUP(AU23,$DF$2:$DN$9,5,FALSE)&gt;FP23,IF(FP23&gt;=0.0625,CEILING(FP23-0.0625,0.125),FP23),"")))</f>
        <v/>
      </c>
      <c r="CR23" s="748">
        <f t="shared" ref="CR23:CR40" si="28">IF(AU23="","",IF(ABS(FF23)&lt;ABS($CX$2),VLOOKUP(AU23,$DF$2:$DN$9,3,FALSE),CEILING(VLOOKUP(AU23,$DF$2:$DN$9,3,FALSE)/COS(FE23)+0.375+IF(CU23="M",IF(FE23&gt;0,(DV23-DW23)/12,0),IF(FE23&gt;0,0,(DV23-CV23)/12))*ABS(FF23),0.125)))</f>
        <v>5</v>
      </c>
      <c r="CS23" s="749">
        <f t="shared" ref="CS23:CS40" si="29">IF(AU23="","",IF(ABS(FK23)&lt;ABS($CX$2),VLOOKUP(AU23,$DF$2:$DN$9,3,FALSE),CEILING(VLOOKUP(AU23,$DF$2:$DN$9,3,FALSE)/COS(FJ23)+0.375+IF(DE23="M",IF(FJ23&lt;0,(EB23-EC23)/12,0),IF(FJ23&lt;0,0,(EB23-DF23)/12))*ABS(FK23),0.125)))</f>
        <v>5</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0">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1">BZ23*-1</f>
        <v>0</v>
      </c>
      <c r="DO23" s="818">
        <f t="shared" ref="DO23:DO40" si="32">IF(CE23="",0,ATAN(CE23/12))</f>
        <v>0</v>
      </c>
      <c r="DP23" s="819" t="str">
        <f t="shared" ref="DP23:DP40" si="33">IF(OR(CV23="",BE23="",DF23=""),"",CEILING(IF(AND(BE23="",BF23=""),"",((BE23*12+BF23)+CV23+DF23)/COS(FN23))-0.0625,0.125))</f>
        <v/>
      </c>
      <c r="DQ23" s="819" t="str">
        <f t="shared" ref="DQ23:DQ40" si="34">IF(AU23="","",IF(ABS(FF23)&lt;ABS($CX$2),CX23,IF(FF23=0,CX23,CEILING((CX23+((DW23-CV23)/12)*FF23)-0.0625,0.125))))</f>
        <v/>
      </c>
      <c r="DR23" s="819" t="str">
        <f t="shared" ref="DR23:DR40" si="35">IF(AU23="","",IF(ABS(FK23)&lt;ABS($CX$2),DH23,IF(FK23=0,DH23,CEILING((DH23+((EC23-DF23)/12)*FK23)-0.0625,0.125))))</f>
        <v/>
      </c>
      <c r="DS23" s="820">
        <f t="shared" ref="DS23:DS40" si="36">IF(BM23="",0,RADIANS(ABS(BM23)))</f>
        <v>0</v>
      </c>
      <c r="DT23" s="821">
        <f t="shared" ref="DT23:DT40" si="37">MIN(IF(BH23&gt;0,BH23/2,MAX(BI23/2,DC23)),IF(BI23&gt;0,BI23/2,MAX(BH23/2,DC23)),IF(DC23&gt;0,DC23,MAX(BI23/2,BH23/2)))/IF(OR(CU23="C",AND(CU23="M",$DD$1="N")),1,COS(DS23))</f>
        <v>0</v>
      </c>
      <c r="DU23" s="821" t="str">
        <f t="shared" ref="DU23:DU40" si="38">IF(CV23="","",IF(DC23&gt;=0,MAX(BH23/2,BI23/2,DC23),DC23)/IF(OR(CU23="C",AND(CU23="M",$DD$1="N")),1,COS(DS23)))</f>
        <v/>
      </c>
      <c r="DV23" s="819" t="str">
        <f t="shared" ref="DV23:DV40" si="39">IF(CV23="","",(CV23+DU23+(VLOOKUP(IF(AU23="HDR","K",AU23),$DF$2:$DN$9,2,FALSE))*TAN(DS23))/COS(FD23)-FH23)</f>
        <v/>
      </c>
      <c r="DW23" s="1127" t="str">
        <f t="shared" ref="DW23:DW40" si="40">IF(CV23="","",MAX(0,IF(NOT(BQ23=""),CV23-BQ23,DV23-VLOOKUP(IF(AU23="HDR","K",AU23),$DF$2:$DN$9,4,FALSE))))</f>
        <v/>
      </c>
      <c r="DX23" s="1005">
        <f>IF(CV23="",0,IF(DW23/COS(FN23-FD23)&lt;0.0625,0,CEILING(DW23/COS(FN23-FD23)-0.03125,0.125)))</f>
        <v>0</v>
      </c>
      <c r="DY23" s="819">
        <f t="shared" ref="DY23:DY40" si="41">RADIANS(ABS(BY23))</f>
        <v>0</v>
      </c>
      <c r="DZ23" s="821">
        <f t="shared" ref="DZ23:DZ40" si="42">MIN(IF(BT23&gt;0,BT23/2,MAX(BU23/2,DM23)),IF(BU23&gt;0,BU23/2,MAX(BT23/2,DM23)),IF(DM23&gt;0,DM23,MAX(BU23/2,BT23/2)))/IF(OR(DE23="C",AND(DE23="M",$DD$1="N")),1,COS(DY23))</f>
        <v>0</v>
      </c>
      <c r="EA23" s="821" t="str">
        <f t="shared" ref="EA23:EA40" si="43">IF(DF23="","",IF(DM23&gt;=0,MAX(BT23/2,BU23/2,DM23),DM23)/IF(OR(DE23="C",AND(DE23="M",$DD$1="N")),1,COS(DY23)))</f>
        <v/>
      </c>
      <c r="EB23" s="819" t="str">
        <f>IF(DF23="","",(DF23+EA23+(VLOOKUP(IF(AU23="HDR","K",AU23),$DF$2:$DN$9,2,FALSE))*TAN(DY23))/COS(FI23)-FM23)</f>
        <v/>
      </c>
      <c r="EC23" s="1127" t="str">
        <f t="shared" ref="EC23:EC40" si="44">IF(DF23="","",MAX(0,IF(NOT(CC23=""),DF23-CC23,EB23-VLOOKUP(IF(AU23="HDR","K",AU23),$DF$2:$DN$9,4,FALSE))))</f>
        <v/>
      </c>
      <c r="ED23" s="1005">
        <f>IF(DF23="",0,IF(EC23/COS(FN23+FI23)&lt;0.0625,0,CEILING(EC23/COS(FN23+FI23)-0.03125,0.125)))</f>
        <v>0</v>
      </c>
      <c r="EE23" s="1292" t="str">
        <f t="shared" ref="EE23:EE40" si="45">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856"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819" t="str">
        <f t="shared" ref="EJ23:EK38" si="48">IF(ISERROR(EF23),"ERR",IF(EF23="","",IF(EH23="ERR","ERR",CEILING(EH23-0.0625,0.125))))</f>
        <v/>
      </c>
      <c r="EK23" s="819" t="str">
        <f t="shared" si="48"/>
        <v/>
      </c>
      <c r="EL23" s="1292" t="str">
        <f t="shared" ref="EL23:EL40" si="49">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856"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819" t="str">
        <f t="shared" ref="EQ23:ER40" si="52">IF(ISERROR(EM23),"ERR",IF(EM23="","",IF(EO23="ERR","ERR",CEILING(EO23-0.0625,0.125))))</f>
        <v/>
      </c>
      <c r="ER23" s="819" t="str">
        <f t="shared" si="52"/>
        <v/>
      </c>
      <c r="ES23" s="822" t="str">
        <f t="shared" ref="ES23:ES40" si="53">IF(OR(CY23="",AU23="JS",AU23="HDR",BO23=""),"",IF((CV23-CY23)/COS(DO23)-FS23&lt;=-0.0625,CEILING((CV23-CY23)/COS(DO23)-FS23+0.0625,-0.125),IF((CV23-CY23)/COS(DO23)-FS23&gt;=0.0625,CEILING((CV23-CY23)/COS(DO23)-FS23-0.0625,0.125),0)))</f>
        <v/>
      </c>
      <c r="ET23" s="822" t="str">
        <f t="shared" ref="ET23:ET40" si="54">IF(OR(DI23="",AU23="JS",AU23="HDR",CA23=""),"",IF((DF23-DI23)/COS(DO23)-FT23&lt;=-0.0625,CEILING((DF23-DI23)/COS(DO23)-FT23+0.0625,-0.125),IF((DF23-DI23)/COS(DO23)-FT23&gt;=0.0625,CEILING((DF23-DI23)/COS(DO23)-FT23-0.0625,0.125),0)))</f>
        <v/>
      </c>
      <c r="EU23" s="823">
        <f t="shared" ref="EU23:EU40" si="55">IF(AU23="","",VLOOKUP(AU23,$DF$2:$DN$9,6,FALSE))</f>
        <v>4</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56">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57">IF(BV23="X",IF(OR(DE23="M",DE23="C"),"",IF((FB23-FA23)/2&lt;=(VLOOKUP(AU23,$DF$2:$DN$9,8,FALSE)-(VLOOKUP(AU23,$DF$2:$DN$9,7,FALSE)-0.0625)),(FA23+FB23)/2,"ERR")),"")</f>
        <v/>
      </c>
      <c r="FD23" s="819">
        <f t="shared" ref="FD23:FD40" si="58">IF(DD23="",0,ATAN(DD23/12))</f>
        <v>0</v>
      </c>
      <c r="FE23" s="819">
        <f t="shared" ref="FE23:FE40" si="59">DO23-FD23</f>
        <v>0</v>
      </c>
      <c r="FF23" s="820">
        <f t="shared" ref="FF23:FF40" si="60">TAN(FE23)*12</f>
        <v>0</v>
      </c>
      <c r="FG23" s="820" t="str">
        <f t="shared" ref="FG23:FG40" si="61">IF(FF23=0,"",IF(ABS(FF23)&lt;$CX$2,IF(AND(ABS(MIN(DV23,FQ23)/12*FF23)&gt;$DD$2,FF23&gt;0),IF(FF23&gt;0,CEILING(FF23-0.0625,0.125),CEILING(FF23+0.0625,-0.125)),""),IF(FF23&gt;0,CEILING(FF23-0.0625,0.125),CEILING(FF23+0.0625,-0.125))))</f>
        <v/>
      </c>
      <c r="FH23" s="819" t="str">
        <f t="shared" ref="FH23:FH40" si="62">IF(CX23="","",CX23*TAN(FD23))</f>
        <v/>
      </c>
      <c r="FI23" s="819">
        <f t="shared" ref="FI23:FI40" si="63">IF(DN23="",0,ATAN(DN23/12))</f>
        <v>0</v>
      </c>
      <c r="FJ23" s="819">
        <f t="shared" ref="FJ23:FJ40" si="64">DO23+FI23</f>
        <v>0</v>
      </c>
      <c r="FK23" s="820">
        <f t="shared" ref="FK23:FK40" si="65">TAN(FJ23)*-12</f>
        <v>0</v>
      </c>
      <c r="FL23" s="820" t="str">
        <f t="shared" ref="FL23:FL40" si="66">IF(FK23=0,"",IF(ABS(FK23)&lt;$CX$2,IF(AND(ABS(MIN(EB23,FR23)/12*FK23)&gt;$DD$2,FK23&gt;0),IF(FK23&gt;0,CEILING(FK23-0.0625,0.125),CEILING(FK23+0.0625,-0.125)),""),IF(FK23&gt;0,CEILING(FK23-0.0625,0.125),CEILING(FK23+0.0625,-0.125))))</f>
        <v/>
      </c>
      <c r="FM23" s="819" t="str">
        <f t="shared" ref="FM23:FM40" si="67">IF(DH23="","",DH23*TAN(FI23))</f>
        <v/>
      </c>
      <c r="FN23" s="819" t="e">
        <f t="shared" ref="FN23:FN40" si="68">IF(((BE23*12+BF23)+CV23+DF23)/COS(DO23)-((BE23*12+BF23)+CV23+DF23)&lt;$DB$2,0,DO23)</f>
        <v>#VALUE!</v>
      </c>
      <c r="FO23" s="1386" t="e">
        <f t="shared" ref="FO23:FO40" si="69">MIN(IF(BH23&gt;0,BH23/2,MAX(BI23/2,DC23)),IF(BI23&gt;0,BI23/2,MAX(BH23/2,DC23)),IF(DC23&gt;0,DC23,MAX(BI23/2,BH23/2)))/COS(DS23)+CV23-DW23-FH23</f>
        <v>#VALUE!</v>
      </c>
      <c r="FP23" s="1386" t="e">
        <f t="shared" ref="FP23:FP40" si="70">MIN(IF(BT23&gt;0,BT23/2,MAX(BU23/2,DM23)),IF(BU23&gt;0,BU23/2,MAX(BT23/2,DM23)),IF(DM23&gt;0,DM23,MAX(BU23/2,BT23/2)))/COS(DY23)+DF23-EC23-FM23</f>
        <v>#VALUE!</v>
      </c>
      <c r="FQ23" s="825" t="e">
        <f t="shared" ref="FQ23:FQ40" si="71">IF(OR(CU23="B",CU23="G"),MAX(BH23,BI23),IF(CU23="M",12,DC23+CV23))</f>
        <v>#VALUE!</v>
      </c>
      <c r="FR23" s="826" t="e">
        <f t="shared" ref="FR23:FR40" si="72">IF(OR(DE23="B",DE23="G"),MAX(BT23,BU23),IF(DE23="M",12,DM23+DF23))</f>
        <v>#VALUE!</v>
      </c>
      <c r="FS23" s="827" t="str">
        <f t="shared" ref="FS23:FS40" si="73">IF(CY23="","",IF(ABS(CE23*((AJ23-IF(CE23&gt;0,VLOOKUP(AU23,$DF$2:$DN$9,9,FALSE),0))/12))&gt;$CZ$2,CE23*((AJ23-IF(CE23&gt;0,VLOOKUP(AU23,$DF$2:$DN$9,9,FALSE),0))/12),0))</f>
        <v/>
      </c>
      <c r="FT23" s="828" t="str">
        <f t="shared" ref="FT23:FT40" si="74">IF(DI23="","",IF(ABS(CE23*((AJ23-IF(CE23&lt;0,VLOOKUP(AU23,$DF$2:$DN$9,9,FALSE),0))/12))&gt;$CZ$2,CE23*((AJ23-IF(CE23&lt;0,VLOOKUP(AU23,$DF$2:$DN$9,9,FALSE),0))/12)*-1,0))</f>
        <v/>
      </c>
      <c r="FU23" s="1009">
        <f t="shared" ref="FU23:FU40" si="75">IF(CX23="",0,MAX(0,MIN(DV23-VLOOKUP(AU23,DF$2:DN$9,4,FALSE),(MAX(0,CX23-VLOOKUP(AU23,DF$2:DN$9,3,FALSE))+VLOOKUP(AU23,DF$2:DN$9,4,FALSE))*COS(DO23)+((MAX(0,CX23-VLOOKUP(AU23,DF$2:DN$9,3,FALSE))+VLOOKUP(AU23,DF$2:DN$9,4,FALSE))*COS(PI()/2-DO23))/TAN(PI()/2-(DO23+PI()/4))-VLOOKUP(AU23,DF$2:DN$9,4,FALSE))))</f>
        <v>0</v>
      </c>
      <c r="FV23" s="1010">
        <f t="shared" ref="FV23:FV40" si="76">IF(DH23="",0,MAX(0,MIN(EB23-VLOOKUP(AU23,DF$2:DN$9,4,FALSE),(MAX(0,DH23-VLOOKUP(AU23,DF$2:DN$9,3,FALSE))+VLOOKUP(AU23,DF$2:DN$9,4,FALSE))*COS(DO23)+((MAX(0,DH23-VLOOKUP(AU23,DF$2:DN$9,3,FALSE))+VLOOKUP(AU23,DF$2:DN$9,4,FALSE))*COS(PI()/2-DO23))/TAN(PI()/2-(DO23+PI()/4))-VLOOKUP(AU23,DF$2:DN$9,4,FALSE))))</f>
        <v>0</v>
      </c>
      <c r="GA23" s="1791">
        <v>40</v>
      </c>
      <c r="GB23" s="1792">
        <v>0.75</v>
      </c>
      <c r="GC23" s="1793">
        <v>-0.25</v>
      </c>
      <c r="GD23" s="1794">
        <v>-0.5</v>
      </c>
      <c r="GE23" s="1795">
        <f t="shared" ref="GE23:GE40" si="77">IF(GF23="","",IF(ISBLANK(CE23),IF(Y23=Z23,0,MAX(ABS(Y23),ABS(Z23))*IF(Y23&lt;0,-1,1)),CE23))</f>
        <v>0</v>
      </c>
      <c r="GF23" s="600" t="str">
        <f t="shared" ref="GF23:GF40" si="78">IF(A23=0,"",A23)</f>
        <v>J1</v>
      </c>
      <c r="GG23" s="1130">
        <v>0</v>
      </c>
      <c r="GH23" s="1131">
        <v>0</v>
      </c>
      <c r="GI23" s="1130"/>
      <c r="GJ23" s="1131"/>
      <c r="GK23" s="1636">
        <f t="shared" ref="GK23:GK40" si="79">IF(D23="",0,D23*12+E23)</f>
        <v>480</v>
      </c>
      <c r="GL23" s="1636">
        <f t="shared" ref="GL23:GL40" si="80">(GA23*12+GB23+GC23+GD23)/COS(ATAN(ABS(GE23/12)))</f>
        <v>480</v>
      </c>
      <c r="GM23" s="1637">
        <f>IF(ABS(GK23-GL23)&gt;='Job Info.'!$L$22,ABS(GK23-GL23),0)</f>
        <v>0</v>
      </c>
      <c r="GZ23" s="415"/>
      <c r="HA23" s="1269" t="s">
        <v>1431</v>
      </c>
      <c r="HB23" s="1270">
        <v>2</v>
      </c>
      <c r="HC23" s="1270" t="s">
        <v>1592</v>
      </c>
      <c r="HD23" s="1271">
        <v>40</v>
      </c>
      <c r="HE23" s="1272">
        <v>0</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1646</v>
      </c>
      <c r="IB23" s="1272"/>
      <c r="IC23" s="1272"/>
      <c r="ID23" s="1272"/>
      <c r="IE23" s="1272"/>
      <c r="IF23" s="1274"/>
    </row>
    <row r="24" spans="1:240" ht="12.6" customHeight="1" x14ac:dyDescent="0.25">
      <c r="A24" s="1448" t="s">
        <v>1432</v>
      </c>
      <c r="B24" s="1681">
        <v>2</v>
      </c>
      <c r="C24" s="1449" t="s">
        <v>1592</v>
      </c>
      <c r="D24" s="1705">
        <v>40</v>
      </c>
      <c r="E24" s="1778">
        <v>0</v>
      </c>
      <c r="F24" s="1708" t="str">
        <f>IF(DX24=0,"",TRUNC(DX24/12))</f>
        <v/>
      </c>
      <c r="G24" s="1709" t="str">
        <f>IF(DX24=0,"",DX24-(F24*12))</f>
        <v/>
      </c>
      <c r="H24" s="1779" t="str">
        <f>IF(DX24=0,"",CW24)</f>
        <v/>
      </c>
      <c r="I24" s="1705" t="str">
        <f>IF(ED24=0,"",TRUNC(ED24/12))</f>
        <v/>
      </c>
      <c r="J24" s="1709" t="str">
        <f>IF(ED24=0,"",ED24-(I24*12))</f>
        <v/>
      </c>
      <c r="K24" s="1780" t="str">
        <f>IF(ED24=0,"",DG24)</f>
        <v/>
      </c>
      <c r="L24" s="1712">
        <v>5</v>
      </c>
      <c r="M24" s="1713">
        <v>5</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v>0</v>
      </c>
      <c r="U24" s="1709">
        <v>2.25</v>
      </c>
      <c r="V24" s="1705">
        <v>0</v>
      </c>
      <c r="W24" s="1709">
        <v>2</v>
      </c>
      <c r="X24" s="1750">
        <v>4</v>
      </c>
      <c r="Y24" s="1781" t="str">
        <f>FG24</f>
        <v/>
      </c>
      <c r="Z24" s="1782" t="str">
        <f>FL24</f>
        <v/>
      </c>
      <c r="AA24" s="1783" t="s">
        <v>1706</v>
      </c>
      <c r="AB24" s="1413"/>
      <c r="AC24" s="964" t="b">
        <v>0</v>
      </c>
      <c r="AD24" s="441">
        <f t="shared" si="1"/>
        <v>0</v>
      </c>
      <c r="AE24" s="442">
        <f t="shared" si="2"/>
        <v>2</v>
      </c>
      <c r="AF24" s="442">
        <f t="shared" si="3"/>
        <v>0</v>
      </c>
      <c r="AG24" s="442">
        <f t="shared" si="4"/>
        <v>0</v>
      </c>
      <c r="AH24" s="443">
        <f t="shared" si="5"/>
        <v>0</v>
      </c>
      <c r="AI24" s="444" t="b">
        <v>0</v>
      </c>
      <c r="AJ24" s="238">
        <f>IF(OR(ISERROR(VALUE(LEFT(C24,SEARCH(AK24,C24)-1))),AK24=""),0,VALUE(LEFT(C24,SEARCH(AK24,C24)-1)))</f>
        <v>32</v>
      </c>
      <c r="AK24" s="238" t="str">
        <f t="shared" si="6"/>
        <v>LH</v>
      </c>
      <c r="AL24" s="1290" t="str">
        <f t="shared" si="7"/>
        <v/>
      </c>
      <c r="AM24" s="238">
        <f t="shared" si="8"/>
        <v>305</v>
      </c>
      <c r="AN24" s="238">
        <f t="shared" si="9"/>
        <v>180</v>
      </c>
      <c r="AO24" s="238" t="str">
        <f t="shared" si="10"/>
        <v/>
      </c>
      <c r="AP24" s="830" t="b">
        <f>IF(ISERROR(AJ24),FALSE,IF(OR(AJ24=0,ISERROR(AL24),ISERROR(AM24),ISERROR(AN24),ISERROR(AO24)),FALSE,IF(AL24&lt;&gt;"",IF(ISERROR(VLOOKUP(SUBSTITUTE(SUBSTITUTE(C24,"R",""),"A",""),TblJoistSize!$A:$A,1,FALSE)),FALSE,TRUE),TRUE)))</f>
        <v>1</v>
      </c>
      <c r="AQ24" s="1038">
        <f t="shared" si="11"/>
        <v>6</v>
      </c>
      <c r="AR24" s="945" t="b">
        <f>IF(IF(ISNUMBER(T24),T24*12,0)+IF(ISNUMBER(U24),U24,0)&gt;0,IF(AND(IF(ISNUMBER(T24),T24*12,0)+IF(ISNUMBER(U24),U24,0)&gt;=VLOOKUP(AU24,$DF$2:$DN$9,8,FALSE)/2+$DQ$2,IF(ISNUMBER(T24),T24*12,0)+IF(ISNUMBER(U24),U24,0)&lt;=(AQ24-(VLOOKUP(AU24,$DF$2:$DN$9,8,FALSE)/2+$DQ$2))+IF(H24="X",2,0)),TRUE,FALSE),FALSE)</f>
        <v>1</v>
      </c>
      <c r="AS24" s="1038">
        <f t="shared" si="12"/>
        <v>6</v>
      </c>
      <c r="AT24" s="945" t="b">
        <f>IF(IF(ISNUMBER(V24),V24*12,0)+IF(ISNUMBER(W24),W24,0)&gt;0,IF(AND((IF(ISNUMBER(V24),V24*12,0)+IF(ISNUMBER(W24),W24,0))&gt;=VLOOKUP(AU24,$DF$2:$DN$9,8,FALSE)/2+$DQ$2,(IF(ISNUMBER(V24),V24*12,0)+IF(ISNUMBER(W24),W24,0))&lt;=(AS24-(VLOOKUP(AU24,$DF$2:$DN$9,8,FALSE)/2+$DQ$2))+IF(K24="X",2,0)),TRUE,FALSE),FALSE)</f>
        <v>1</v>
      </c>
      <c r="AU24" s="1291" t="str">
        <f t="shared" si="13"/>
        <v>LH</v>
      </c>
      <c r="AV24" s="830" t="str">
        <f t="shared" si="14"/>
        <v/>
      </c>
      <c r="AW24" s="830" t="str">
        <f t="shared" ref="AW24:AW40" si="81">IF(NOT(ISERROR(SEARCH("HDR",C24))),"HDR",IF(NOT(ISERROR(SEARCH("JS",C24))),"JS",IF(NOT(ISERROR(SEARCH("SLH",C24))),"SLH",IF(NOT(ISERROR(SEARCH("DLH",C24))),"DLH",IF(NOT(ISERROR(SEARCH("LH",C24))),"LH","")))))</f>
        <v>LH</v>
      </c>
      <c r="AX24" s="830" t="str">
        <f>IF(AND(OR(ISBLANK(A24),A24=""),AA24&lt;&gt;""),AX23,IF(OR(ISBLANK(A24),A24=""),"",A24))</f>
        <v>J2</v>
      </c>
      <c r="AY24" s="464" t="b">
        <f t="shared" si="15"/>
        <v>0</v>
      </c>
      <c r="AZ24" s="856" t="b">
        <f t="shared" ref="AZ24:AZ40" si="82">IF(AND(NOT(ISERROR(AJ24)),AJ24&gt;0),((IF(D24="",0,D24)*12+IF(E24="",0,E24))-(IF(F24="",0,F24)*12+IF(G24="",0,G24))-(IF(I24="",0,I24)*12+IF(J24="",0,J24)))&gt;AJ24*24,"")</f>
        <v>0</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16"/>
        <v/>
      </c>
      <c r="BR24" s="1563"/>
      <c r="BS24" s="672"/>
      <c r="BT24" s="982"/>
      <c r="BU24" s="983"/>
      <c r="BV24" s="1625"/>
      <c r="BW24" s="982"/>
      <c r="BX24" s="983"/>
      <c r="BY24" s="1569"/>
      <c r="BZ24" s="1570"/>
      <c r="CA24" s="1617" t="str">
        <f>IF(ISERROR(DE24),"",IF(DE24="","",IF(VLOOKUP(BS24,SectInfo!$B:$N,10,FALSE)="","","X")))</f>
        <v/>
      </c>
      <c r="CB24" s="1561"/>
      <c r="CC24" s="1562" t="str">
        <f t="shared" si="17"/>
        <v/>
      </c>
      <c r="CD24" s="1563"/>
      <c r="CE24" s="1574"/>
      <c r="CF24" s="736"/>
      <c r="CG24" s="737"/>
      <c r="CH24" s="643" t="str">
        <f t="shared" si="18"/>
        <v/>
      </c>
      <c r="CI24" s="644" t="str">
        <f t="shared" si="19"/>
        <v/>
      </c>
      <c r="CJ24" s="645" t="str">
        <f t="shared" si="20"/>
        <v/>
      </c>
      <c r="CK24" s="852" t="str">
        <f t="shared" si="21"/>
        <v/>
      </c>
      <c r="CL24" s="847" t="str">
        <f t="shared" si="22"/>
        <v/>
      </c>
      <c r="CM24" s="848" t="str">
        <f t="shared" si="23"/>
        <v/>
      </c>
      <c r="CN24" s="611" t="str">
        <f t="shared" si="24"/>
        <v/>
      </c>
      <c r="CO24" s="612" t="str">
        <f t="shared" si="25"/>
        <v/>
      </c>
      <c r="CP24" s="615" t="str">
        <f t="shared" si="26"/>
        <v/>
      </c>
      <c r="CQ24" s="616" t="str">
        <f t="shared" si="27"/>
        <v/>
      </c>
      <c r="CR24" s="750">
        <f t="shared" si="28"/>
        <v>5</v>
      </c>
      <c r="CS24" s="751">
        <f t="shared" si="29"/>
        <v>5</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0"/>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1"/>
        <v>0</v>
      </c>
      <c r="DO24" s="818">
        <f t="shared" si="32"/>
        <v>0</v>
      </c>
      <c r="DP24" s="822" t="str">
        <f t="shared" si="33"/>
        <v/>
      </c>
      <c r="DQ24" s="822" t="str">
        <f t="shared" si="34"/>
        <v/>
      </c>
      <c r="DR24" s="822" t="str">
        <f t="shared" si="35"/>
        <v/>
      </c>
      <c r="DS24" s="821">
        <f t="shared" si="36"/>
        <v>0</v>
      </c>
      <c r="DT24" s="821">
        <f t="shared" si="37"/>
        <v>0</v>
      </c>
      <c r="DU24" s="821" t="str">
        <f t="shared" si="38"/>
        <v/>
      </c>
      <c r="DV24" s="822" t="str">
        <f t="shared" si="39"/>
        <v/>
      </c>
      <c r="DW24" s="856" t="str">
        <f t="shared" si="40"/>
        <v/>
      </c>
      <c r="DX24" s="1006">
        <f>IF(CV24="",0,IF(DW24/COS(FN24-FD24)&lt;0.0625,0,CEILING(DW24/COS(FN24-FD24)-0.03125,0.125)))</f>
        <v>0</v>
      </c>
      <c r="DY24" s="822">
        <f t="shared" si="41"/>
        <v>0</v>
      </c>
      <c r="DZ24" s="821">
        <f t="shared" si="42"/>
        <v>0</v>
      </c>
      <c r="EA24" s="821" t="str">
        <f t="shared" si="43"/>
        <v/>
      </c>
      <c r="EB24" s="822" t="str">
        <f>IF(DF24="","",(DF24+EA24+(VLOOKUP(IF(AU24="HDR","K",AU24),$DF$2:$DN$9,2,FALSE))*TAN(DY24))/COS(FI24)-FM24)</f>
        <v/>
      </c>
      <c r="EC24" s="856" t="str">
        <f t="shared" si="44"/>
        <v/>
      </c>
      <c r="ED24" s="1006">
        <f>IF(DF24="",0,IF(EC24/COS(FN24+FI24)&lt;0.0625,0,CEILING(EC24/COS(FN24+FI24)-0.03125,0.125)))</f>
        <v>0</v>
      </c>
      <c r="EE24" s="1293" t="str">
        <f t="shared" si="45"/>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str">
        <f t="shared" si="46"/>
        <v>ERR</v>
      </c>
      <c r="EI24" s="856" t="str">
        <f t="shared" si="47"/>
        <v>ERR</v>
      </c>
      <c r="EJ24" s="822" t="str">
        <f t="shared" si="48"/>
        <v/>
      </c>
      <c r="EK24" s="822" t="str">
        <f t="shared" si="48"/>
        <v/>
      </c>
      <c r="EL24" s="1293" t="str">
        <f t="shared" si="49"/>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str">
        <f t="shared" si="50"/>
        <v>ERR</v>
      </c>
      <c r="EP24" s="856" t="str">
        <f t="shared" si="51"/>
        <v>ERR</v>
      </c>
      <c r="EQ24" s="822" t="str">
        <f t="shared" si="52"/>
        <v/>
      </c>
      <c r="ER24" s="822" t="str">
        <f t="shared" si="52"/>
        <v/>
      </c>
      <c r="ES24" s="822" t="str">
        <f t="shared" si="53"/>
        <v/>
      </c>
      <c r="ET24" s="822" t="str">
        <f t="shared" si="54"/>
        <v/>
      </c>
      <c r="EU24" s="829">
        <f t="shared" si="55"/>
        <v>4</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56"/>
        <v/>
      </c>
      <c r="FA24" s="829" t="str">
        <f>IF(AND(DE24="G", ISBLANK(BW24), ISBLANK(BX24)),VLOOKUP(MIN(BT24:BU24),TblJoistSize!$M$3:$N$10,2),IF(OR(DE24="B", DE24="G"),MIN(BW24:BX24),""))</f>
        <v/>
      </c>
      <c r="FB24" s="829" t="str">
        <f>IF(AND(DE24="G", ISBLANK(BW24), ISBLANK(BX24)),VLOOKUP(MAX(BT24:BU24),TblJoistSize!$M$3:$N$10,2),IF(OR(DE24="B", DE24="G"),MAX(BW24:BX24),""))</f>
        <v/>
      </c>
      <c r="FC24" s="829" t="str">
        <f t="shared" si="57"/>
        <v/>
      </c>
      <c r="FD24" s="822">
        <f t="shared" si="58"/>
        <v>0</v>
      </c>
      <c r="FE24" s="822">
        <f t="shared" si="59"/>
        <v>0</v>
      </c>
      <c r="FF24" s="821">
        <f t="shared" si="60"/>
        <v>0</v>
      </c>
      <c r="FG24" s="821" t="str">
        <f t="shared" si="61"/>
        <v/>
      </c>
      <c r="FH24" s="822" t="str">
        <f t="shared" si="62"/>
        <v/>
      </c>
      <c r="FI24" s="822">
        <f t="shared" si="63"/>
        <v>0</v>
      </c>
      <c r="FJ24" s="822">
        <f t="shared" si="64"/>
        <v>0</v>
      </c>
      <c r="FK24" s="821">
        <f t="shared" si="65"/>
        <v>0</v>
      </c>
      <c r="FL24" s="821" t="str">
        <f t="shared" si="66"/>
        <v/>
      </c>
      <c r="FM24" s="822" t="str">
        <f t="shared" si="67"/>
        <v/>
      </c>
      <c r="FN24" s="822" t="e">
        <f t="shared" si="68"/>
        <v>#VALUE!</v>
      </c>
      <c r="FO24" s="940" t="e">
        <f t="shared" si="69"/>
        <v>#VALUE!</v>
      </c>
      <c r="FP24" s="940" t="e">
        <f t="shared" si="70"/>
        <v>#VALUE!</v>
      </c>
      <c r="FQ24" s="830" t="e">
        <f t="shared" si="71"/>
        <v>#VALUE!</v>
      </c>
      <c r="FR24" s="831" t="e">
        <f t="shared" si="72"/>
        <v>#VALUE!</v>
      </c>
      <c r="FS24" s="832" t="str">
        <f t="shared" si="73"/>
        <v/>
      </c>
      <c r="FT24" s="833" t="str">
        <f t="shared" si="74"/>
        <v/>
      </c>
      <c r="FU24" s="870">
        <f t="shared" si="75"/>
        <v>0</v>
      </c>
      <c r="FV24" s="871">
        <f t="shared" si="76"/>
        <v>0</v>
      </c>
      <c r="GA24" s="1791">
        <v>40</v>
      </c>
      <c r="GB24" s="1792">
        <v>0.75</v>
      </c>
      <c r="GC24" s="1793">
        <v>-0.25</v>
      </c>
      <c r="GD24" s="1794">
        <v>-0.5</v>
      </c>
      <c r="GE24" s="1795">
        <f t="shared" si="77"/>
        <v>0</v>
      </c>
      <c r="GF24" s="600" t="str">
        <f t="shared" si="78"/>
        <v>J2</v>
      </c>
      <c r="GG24" s="1130">
        <v>0</v>
      </c>
      <c r="GH24" s="1131">
        <v>0</v>
      </c>
      <c r="GI24" s="1130"/>
      <c r="GJ24" s="1131"/>
      <c r="GK24" s="1636">
        <f t="shared" si="79"/>
        <v>480</v>
      </c>
      <c r="GL24" s="1636">
        <f t="shared" si="80"/>
        <v>480</v>
      </c>
      <c r="GM24" s="1637">
        <f>IF(ABS(GK24-GL24)&gt;='Job Info.'!$L$22,ABS(GK24-GL24),0)</f>
        <v>0</v>
      </c>
      <c r="GZ24" s="415"/>
      <c r="HA24" s="1391" t="s">
        <v>1432</v>
      </c>
      <c r="HB24" s="1392">
        <v>2</v>
      </c>
      <c r="HC24" s="1392" t="s">
        <v>1592</v>
      </c>
      <c r="HD24" s="1393">
        <v>40</v>
      </c>
      <c r="HE24" s="1394">
        <v>0</v>
      </c>
      <c r="HF24" s="1392" t="s">
        <v>116</v>
      </c>
      <c r="HG24" s="1392" t="s">
        <v>116</v>
      </c>
      <c r="HH24" s="1392" t="s">
        <v>116</v>
      </c>
      <c r="HI24" s="1395" t="s">
        <v>116</v>
      </c>
      <c r="HJ24" s="1392" t="s">
        <v>116</v>
      </c>
      <c r="HK24" s="1392" t="s">
        <v>116</v>
      </c>
      <c r="HL24" s="1392">
        <v>5</v>
      </c>
      <c r="HM24" s="1392">
        <v>5</v>
      </c>
      <c r="HN24" s="1392" t="s">
        <v>116</v>
      </c>
      <c r="HO24" s="1392" t="s">
        <v>116</v>
      </c>
      <c r="HP24" s="1392" t="s">
        <v>116</v>
      </c>
      <c r="HQ24" s="1395" t="s">
        <v>116</v>
      </c>
      <c r="HR24" s="1392" t="s">
        <v>116</v>
      </c>
      <c r="HS24" s="1392" t="s">
        <v>116</v>
      </c>
      <c r="HT24" s="1392">
        <v>0</v>
      </c>
      <c r="HU24" s="1392">
        <v>2.25</v>
      </c>
      <c r="HV24" s="1392">
        <v>0</v>
      </c>
      <c r="HW24" s="1394">
        <v>2</v>
      </c>
      <c r="HX24" s="1394">
        <v>4</v>
      </c>
      <c r="HY24" s="1394" t="s">
        <v>116</v>
      </c>
      <c r="HZ24" s="1394" t="s">
        <v>116</v>
      </c>
      <c r="IA24" s="1394" t="s">
        <v>1647</v>
      </c>
      <c r="IB24" s="1394"/>
      <c r="IC24" s="1394"/>
      <c r="ID24" s="1394"/>
      <c r="IE24" s="1394"/>
      <c r="IF24" s="1396"/>
    </row>
    <row r="25" spans="1:240" ht="12.6" customHeight="1" x14ac:dyDescent="0.25">
      <c r="A25" s="1448" t="s">
        <v>1433</v>
      </c>
      <c r="B25" s="1681">
        <v>2</v>
      </c>
      <c r="C25" s="1449" t="s">
        <v>1592</v>
      </c>
      <c r="D25" s="1705">
        <v>40</v>
      </c>
      <c r="E25" s="1778">
        <v>0</v>
      </c>
      <c r="F25" s="1708" t="str">
        <f>IF(DX25=0,"",TRUNC(DX25/12))</f>
        <v/>
      </c>
      <c r="G25" s="1709" t="str">
        <f>IF(DX25=0,"",DX25-(F25*12))</f>
        <v/>
      </c>
      <c r="H25" s="1779" t="str">
        <f>IF(DX25=0,"",CW25)</f>
        <v/>
      </c>
      <c r="I25" s="1705" t="str">
        <f>IF(ED25=0,"",TRUNC(ED25/12))</f>
        <v/>
      </c>
      <c r="J25" s="1709" t="str">
        <f>IF(ED25=0,"",ED25-(I25*12))</f>
        <v/>
      </c>
      <c r="K25" s="1780" t="str">
        <f>IF(ED25=0,"",DG25)</f>
        <v/>
      </c>
      <c r="L25" s="1712">
        <v>5</v>
      </c>
      <c r="M25" s="1713">
        <v>5</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v>0</v>
      </c>
      <c r="U25" s="1709">
        <v>2.25</v>
      </c>
      <c r="V25" s="1705">
        <v>0</v>
      </c>
      <c r="W25" s="1709">
        <v>2</v>
      </c>
      <c r="X25" s="1750">
        <v>4</v>
      </c>
      <c r="Y25" s="1781" t="str">
        <f>FG25</f>
        <v/>
      </c>
      <c r="Z25" s="1782" t="str">
        <f>FL25</f>
        <v/>
      </c>
      <c r="AA25" s="1783" t="s">
        <v>1707</v>
      </c>
      <c r="AB25" s="1413"/>
      <c r="AC25" s="964" t="b">
        <v>0</v>
      </c>
      <c r="AD25" s="441">
        <f t="shared" si="1"/>
        <v>0</v>
      </c>
      <c r="AE25" s="442">
        <f t="shared" si="2"/>
        <v>2</v>
      </c>
      <c r="AF25" s="442">
        <f t="shared" si="3"/>
        <v>0</v>
      </c>
      <c r="AG25" s="442">
        <f t="shared" si="4"/>
        <v>0</v>
      </c>
      <c r="AH25" s="443">
        <f t="shared" si="5"/>
        <v>0</v>
      </c>
      <c r="AI25" s="444" t="b">
        <v>0</v>
      </c>
      <c r="AJ25" s="238">
        <f>IF(OR(ISERROR(VALUE(LEFT(C25,SEARCH(AK25,C25)-1))),AK25=""),0,VALUE(LEFT(C25,SEARCH(AK25,C25)-1)))</f>
        <v>32</v>
      </c>
      <c r="AK25" s="238" t="str">
        <f t="shared" si="6"/>
        <v>LH</v>
      </c>
      <c r="AL25" s="1290" t="str">
        <f t="shared" si="7"/>
        <v/>
      </c>
      <c r="AM25" s="238">
        <f t="shared" si="8"/>
        <v>305</v>
      </c>
      <c r="AN25" s="238">
        <f t="shared" si="9"/>
        <v>180</v>
      </c>
      <c r="AO25" s="238" t="str">
        <f t="shared" si="10"/>
        <v/>
      </c>
      <c r="AP25" s="830" t="b">
        <f>IF(ISERROR(AJ25),FALSE,IF(OR(AJ25=0,ISERROR(AL25),ISERROR(AM25),ISERROR(AN25),ISERROR(AO25)),FALSE,IF(AL25&lt;&gt;"",IF(ISERROR(VLOOKUP(SUBSTITUTE(SUBSTITUTE(C25,"R",""),"A",""),TblJoistSize!$A:$A,1,FALSE)),FALSE,TRUE),TRUE)))</f>
        <v>1</v>
      </c>
      <c r="AQ25" s="1038">
        <f t="shared" si="11"/>
        <v>6</v>
      </c>
      <c r="AR25" s="945" t="b">
        <f t="shared" ref="AR25:AR40" si="83">IF(IF(ISNUMBER(T25),T25*12,0)+IF(ISNUMBER(U25),U25,0)&gt;0,IF(AND(IF(ISNUMBER(T25),T25*12,0)+IF(ISNUMBER(U25),U25,0)&gt;=VLOOKUP(AU25,$DF$2:$DN$9,8,FALSE)/2+$DQ$2,IF(ISNUMBER(T25),T25*12,0)+IF(ISNUMBER(U25),U25,0)&lt;=(AQ25-(VLOOKUP(AU25,$DF$2:$DN$9,8,FALSE)/2+$DQ$2))+IF(H25="X",2,0)),TRUE,FALSE),FALSE)</f>
        <v>1</v>
      </c>
      <c r="AS25" s="1038">
        <f t="shared" si="12"/>
        <v>6</v>
      </c>
      <c r="AT25" s="945" t="b">
        <f t="shared" ref="AT25:AT40" si="84">IF(IF(ISNUMBER(V25),V25*12,0)+IF(ISNUMBER(W25),W25,0)&gt;0,IF(AND((IF(ISNUMBER(V25),V25*12,0)+IF(ISNUMBER(W25),W25,0))&gt;=VLOOKUP(AU25,$DF$2:$DN$9,8,FALSE)/2+$DQ$2,(IF(ISNUMBER(V25),V25*12,0)+IF(ISNUMBER(W25),W25,0))&lt;=(AS25-(VLOOKUP(AU25,$DF$2:$DN$9,8,FALSE)/2+$DQ$2))+IF(K25="X",2,0)),TRUE,FALSE),FALSE)</f>
        <v>1</v>
      </c>
      <c r="AU25" s="1291" t="str">
        <f t="shared" si="13"/>
        <v>LH</v>
      </c>
      <c r="AV25" s="830" t="str">
        <f t="shared" si="14"/>
        <v/>
      </c>
      <c r="AW25" s="830" t="str">
        <f t="shared" si="81"/>
        <v>LH</v>
      </c>
      <c r="AX25" s="830" t="str">
        <f t="shared" ref="AX25:AX40" si="85">IF(AND(OR(ISBLANK(A25),A25=""),AA25&lt;&gt;""),AX24,IF(OR(ISBLANK(A25),A25=""),"",A25))</f>
        <v>J3</v>
      </c>
      <c r="AY25" s="464" t="b">
        <f t="shared" si="15"/>
        <v>0</v>
      </c>
      <c r="AZ25" s="856" t="b">
        <f t="shared" si="82"/>
        <v>0</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16"/>
        <v/>
      </c>
      <c r="BR25" s="1563"/>
      <c r="BS25" s="672"/>
      <c r="BT25" s="982"/>
      <c r="BU25" s="983"/>
      <c r="BV25" s="1625"/>
      <c r="BW25" s="982"/>
      <c r="BX25" s="983"/>
      <c r="BY25" s="1569"/>
      <c r="BZ25" s="1570"/>
      <c r="CA25" s="1617" t="str">
        <f>IF(ISERROR(DE25),"",IF(DE25="","",IF(VLOOKUP(BS25,SectInfo!$B:$N,10,FALSE)="","","X")))</f>
        <v/>
      </c>
      <c r="CB25" s="1561"/>
      <c r="CC25" s="1562" t="str">
        <f t="shared" si="17"/>
        <v/>
      </c>
      <c r="CD25" s="1563"/>
      <c r="CE25" s="1574"/>
      <c r="CF25" s="736"/>
      <c r="CG25" s="737"/>
      <c r="CH25" s="643" t="str">
        <f t="shared" si="18"/>
        <v/>
      </c>
      <c r="CI25" s="644" t="str">
        <f t="shared" si="19"/>
        <v/>
      </c>
      <c r="CJ25" s="645" t="str">
        <f t="shared" si="20"/>
        <v/>
      </c>
      <c r="CK25" s="852" t="str">
        <f t="shared" si="21"/>
        <v/>
      </c>
      <c r="CL25" s="847" t="str">
        <f t="shared" si="22"/>
        <v/>
      </c>
      <c r="CM25" s="848" t="str">
        <f t="shared" si="23"/>
        <v/>
      </c>
      <c r="CN25" s="611" t="str">
        <f t="shared" si="24"/>
        <v/>
      </c>
      <c r="CO25" s="612" t="str">
        <f t="shared" si="25"/>
        <v/>
      </c>
      <c r="CP25" s="615" t="str">
        <f t="shared" si="26"/>
        <v/>
      </c>
      <c r="CQ25" s="616" t="str">
        <f t="shared" si="27"/>
        <v/>
      </c>
      <c r="CR25" s="750">
        <f t="shared" si="28"/>
        <v>5</v>
      </c>
      <c r="CS25" s="751">
        <f t="shared" si="29"/>
        <v>5</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0"/>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1"/>
        <v>0</v>
      </c>
      <c r="DO25" s="818">
        <f t="shared" si="32"/>
        <v>0</v>
      </c>
      <c r="DP25" s="822" t="str">
        <f t="shared" si="33"/>
        <v/>
      </c>
      <c r="DQ25" s="822" t="str">
        <f t="shared" si="34"/>
        <v/>
      </c>
      <c r="DR25" s="822" t="str">
        <f t="shared" si="35"/>
        <v/>
      </c>
      <c r="DS25" s="821">
        <f t="shared" si="36"/>
        <v>0</v>
      </c>
      <c r="DT25" s="821">
        <f t="shared" si="37"/>
        <v>0</v>
      </c>
      <c r="DU25" s="821" t="str">
        <f t="shared" si="38"/>
        <v/>
      </c>
      <c r="DV25" s="822" t="str">
        <f t="shared" si="39"/>
        <v/>
      </c>
      <c r="DW25" s="856" t="str">
        <f t="shared" si="40"/>
        <v/>
      </c>
      <c r="DX25" s="1006">
        <f>IF(CV25="",0,IF(DW25/COS(FN25-FD25)&lt;0.0625,0,CEILING(DW25/COS(FN25-FD25)-0.03125,0.125)))</f>
        <v>0</v>
      </c>
      <c r="DY25" s="822">
        <f t="shared" si="41"/>
        <v>0</v>
      </c>
      <c r="DZ25" s="821">
        <f t="shared" si="42"/>
        <v>0</v>
      </c>
      <c r="EA25" s="821" t="str">
        <f t="shared" si="43"/>
        <v/>
      </c>
      <c r="EB25" s="822" t="str">
        <f>IF(DF25="","",(DF25+EA25+(VLOOKUP(IF(AU25="HDR","K",AU25),$DF$2:$DN$9,2,FALSE))*TAN(DY25))/COS(FI25)-FM25)</f>
        <v/>
      </c>
      <c r="EC25" s="856" t="str">
        <f t="shared" si="44"/>
        <v/>
      </c>
      <c r="ED25" s="1006">
        <f>IF(DF25="",0,IF(EC25/COS(FN25+FI25)&lt;0.0625,0,CEILING(EC25/COS(FN25+FI25)-0.03125,0.125)))</f>
        <v>0</v>
      </c>
      <c r="EE25" s="1293" t="str">
        <f t="shared" si="45"/>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str">
        <f t="shared" si="46"/>
        <v>ERR</v>
      </c>
      <c r="EI25" s="856" t="str">
        <f t="shared" si="47"/>
        <v>ERR</v>
      </c>
      <c r="EJ25" s="822" t="str">
        <f t="shared" si="48"/>
        <v/>
      </c>
      <c r="EK25" s="822" t="str">
        <f t="shared" si="48"/>
        <v/>
      </c>
      <c r="EL25" s="1293" t="str">
        <f t="shared" si="49"/>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str">
        <f t="shared" si="50"/>
        <v>ERR</v>
      </c>
      <c r="EP25" s="856" t="str">
        <f t="shared" si="51"/>
        <v>ERR</v>
      </c>
      <c r="EQ25" s="822" t="str">
        <f t="shared" si="52"/>
        <v/>
      </c>
      <c r="ER25" s="822" t="str">
        <f t="shared" si="52"/>
        <v/>
      </c>
      <c r="ES25" s="822" t="str">
        <f t="shared" si="53"/>
        <v/>
      </c>
      <c r="ET25" s="822" t="str">
        <f t="shared" si="54"/>
        <v/>
      </c>
      <c r="EU25" s="829">
        <f t="shared" si="55"/>
        <v>4</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56"/>
        <v/>
      </c>
      <c r="FA25" s="829" t="str">
        <f>IF(AND(DE25="G", ISBLANK(BW25), ISBLANK(BX25)),VLOOKUP(MIN(BT25:BU25),TblJoistSize!$M$3:$N$10,2),IF(OR(DE25="B", DE25="G"),MIN(BW25:BX25),""))</f>
        <v/>
      </c>
      <c r="FB25" s="829" t="str">
        <f>IF(AND(DE25="G", ISBLANK(BW25), ISBLANK(BX25)),VLOOKUP(MAX(BT25:BU25),TblJoistSize!$M$3:$N$10,2),IF(OR(DE25="B", DE25="G"),MAX(BW25:BX25),""))</f>
        <v/>
      </c>
      <c r="FC25" s="829" t="str">
        <f t="shared" si="57"/>
        <v/>
      </c>
      <c r="FD25" s="822">
        <f t="shared" si="58"/>
        <v>0</v>
      </c>
      <c r="FE25" s="822">
        <f t="shared" si="59"/>
        <v>0</v>
      </c>
      <c r="FF25" s="821">
        <f t="shared" si="60"/>
        <v>0</v>
      </c>
      <c r="FG25" s="821" t="str">
        <f t="shared" si="61"/>
        <v/>
      </c>
      <c r="FH25" s="822" t="str">
        <f t="shared" si="62"/>
        <v/>
      </c>
      <c r="FI25" s="822">
        <f t="shared" si="63"/>
        <v>0</v>
      </c>
      <c r="FJ25" s="822">
        <f t="shared" si="64"/>
        <v>0</v>
      </c>
      <c r="FK25" s="821">
        <f t="shared" si="65"/>
        <v>0</v>
      </c>
      <c r="FL25" s="821" t="str">
        <f t="shared" si="66"/>
        <v/>
      </c>
      <c r="FM25" s="822" t="str">
        <f t="shared" si="67"/>
        <v/>
      </c>
      <c r="FN25" s="822" t="e">
        <f t="shared" si="68"/>
        <v>#VALUE!</v>
      </c>
      <c r="FO25" s="940" t="e">
        <f t="shared" si="69"/>
        <v>#VALUE!</v>
      </c>
      <c r="FP25" s="940" t="e">
        <f t="shared" si="70"/>
        <v>#VALUE!</v>
      </c>
      <c r="FQ25" s="830" t="e">
        <f t="shared" si="71"/>
        <v>#VALUE!</v>
      </c>
      <c r="FR25" s="831" t="e">
        <f t="shared" si="72"/>
        <v>#VALUE!</v>
      </c>
      <c r="FS25" s="832" t="str">
        <f t="shared" si="73"/>
        <v/>
      </c>
      <c r="FT25" s="833" t="str">
        <f t="shared" si="74"/>
        <v/>
      </c>
      <c r="FU25" s="870">
        <f t="shared" si="75"/>
        <v>0</v>
      </c>
      <c r="FV25" s="871">
        <f t="shared" si="76"/>
        <v>0</v>
      </c>
      <c r="GA25" s="1791">
        <v>40</v>
      </c>
      <c r="GB25" s="1792">
        <v>0.75</v>
      </c>
      <c r="GC25" s="1793">
        <v>-0.25</v>
      </c>
      <c r="GD25" s="1794">
        <v>-0.5</v>
      </c>
      <c r="GE25" s="1795">
        <f t="shared" si="77"/>
        <v>0</v>
      </c>
      <c r="GF25" s="600" t="str">
        <f t="shared" si="78"/>
        <v>J3</v>
      </c>
      <c r="GG25" s="1130">
        <v>0</v>
      </c>
      <c r="GH25" s="1131">
        <v>0</v>
      </c>
      <c r="GI25" s="1130"/>
      <c r="GJ25" s="1131"/>
      <c r="GK25" s="1636">
        <f t="shared" si="79"/>
        <v>480</v>
      </c>
      <c r="GL25" s="1636">
        <f t="shared" si="80"/>
        <v>480</v>
      </c>
      <c r="GM25" s="1637">
        <f>IF(ABS(GK25-GL25)&gt;='Job Info.'!$L$22,ABS(GK25-GL25),0)</f>
        <v>0</v>
      </c>
      <c r="GZ25" s="415"/>
      <c r="HA25" s="1391" t="s">
        <v>1433</v>
      </c>
      <c r="HB25" s="1392">
        <v>2</v>
      </c>
      <c r="HC25" s="1392" t="s">
        <v>1592</v>
      </c>
      <c r="HD25" s="1393">
        <v>40</v>
      </c>
      <c r="HE25" s="1394">
        <v>0</v>
      </c>
      <c r="HF25" s="1392" t="s">
        <v>116</v>
      </c>
      <c r="HG25" s="1392" t="s">
        <v>116</v>
      </c>
      <c r="HH25" s="1392" t="s">
        <v>116</v>
      </c>
      <c r="HI25" s="1395" t="s">
        <v>116</v>
      </c>
      <c r="HJ25" s="1392" t="s">
        <v>116</v>
      </c>
      <c r="HK25" s="1392" t="s">
        <v>116</v>
      </c>
      <c r="HL25" s="1392">
        <v>5</v>
      </c>
      <c r="HM25" s="1392">
        <v>5</v>
      </c>
      <c r="HN25" s="1392" t="s">
        <v>116</v>
      </c>
      <c r="HO25" s="1392" t="s">
        <v>116</v>
      </c>
      <c r="HP25" s="1392" t="s">
        <v>116</v>
      </c>
      <c r="HQ25" s="1395" t="s">
        <v>116</v>
      </c>
      <c r="HR25" s="1392" t="s">
        <v>116</v>
      </c>
      <c r="HS25" s="1392" t="s">
        <v>116</v>
      </c>
      <c r="HT25" s="1392">
        <v>0</v>
      </c>
      <c r="HU25" s="1392">
        <v>2.25</v>
      </c>
      <c r="HV25" s="1392">
        <v>0</v>
      </c>
      <c r="HW25" s="1394">
        <v>2</v>
      </c>
      <c r="HX25" s="1394">
        <v>4</v>
      </c>
      <c r="HY25" s="1394" t="s">
        <v>116</v>
      </c>
      <c r="HZ25" s="1394" t="s">
        <v>116</v>
      </c>
      <c r="IA25" s="1394" t="s">
        <v>1648</v>
      </c>
      <c r="IB25" s="1394"/>
      <c r="IC25" s="1394"/>
      <c r="ID25" s="1394"/>
      <c r="IE25" s="1394"/>
      <c r="IF25" s="1396"/>
    </row>
    <row r="26" spans="1:240" ht="12.6" customHeight="1" x14ac:dyDescent="0.25">
      <c r="A26" s="1448" t="s">
        <v>1434</v>
      </c>
      <c r="B26" s="1681">
        <v>2</v>
      </c>
      <c r="C26" s="1449" t="s">
        <v>1592</v>
      </c>
      <c r="D26" s="1705">
        <v>40</v>
      </c>
      <c r="E26" s="1778">
        <v>0</v>
      </c>
      <c r="F26" s="1708" t="str">
        <f t="shared" ref="F26:F40" si="86">IF(DX26=0,"",TRUNC(DX26/12))</f>
        <v/>
      </c>
      <c r="G26" s="1709" t="str">
        <f t="shared" ref="G26:G40" si="87">IF(DX26=0,"",DX26-(F26*12))</f>
        <v/>
      </c>
      <c r="H26" s="1779" t="str">
        <f t="shared" ref="H26:H40" si="88">IF(DX26=0,"",CW26)</f>
        <v/>
      </c>
      <c r="I26" s="1705" t="str">
        <f t="shared" ref="I26:I40" si="89">IF(ED26=0,"",TRUNC(ED26/12))</f>
        <v/>
      </c>
      <c r="J26" s="1709" t="str">
        <f t="shared" ref="J26:J40" si="90">IF(ED26=0,"",ED26-(I26*12))</f>
        <v/>
      </c>
      <c r="K26" s="1780" t="str">
        <f t="shared" ref="K26:K40" si="91">IF(ED26=0,"",DG26)</f>
        <v/>
      </c>
      <c r="L26" s="1712">
        <v>5</v>
      </c>
      <c r="M26" s="1713">
        <v>5</v>
      </c>
      <c r="N26" s="1708" t="str">
        <f t="shared" ref="N26:N40" si="92">IF(ES26="","",IF(AND(ES26&lt;0,ES26&gt;-12),TRUNC(ES26/12)-0.0000001,TRUNC(ES26/12)))</f>
        <v/>
      </c>
      <c r="O26" s="1709" t="str">
        <f t="shared" ref="O26:O40" si="93">IF(ES26="","",IF(AND(ES26-(N26*12)=0,ES26&lt;0),-0.000001,ES26-(N26*12)))</f>
        <v/>
      </c>
      <c r="P26" s="1710" t="str">
        <f t="shared" ref="P26:P40" si="94">IF(ES26="","",IF(OR(CW26="Q",CW26="C"),3,CZ26))</f>
        <v/>
      </c>
      <c r="Q26" s="1705" t="str">
        <f t="shared" ref="Q26:Q40" si="95">IF(ET26="","",IF(AND(ET26&lt;0,ET26&gt;-12),TRUNC(ET26/12)-0.0000001,TRUNC(ET26/12)))</f>
        <v/>
      </c>
      <c r="R26" s="1709" t="str">
        <f t="shared" ref="R26:R40" si="96">IF(ET26="","",IF(AND(ET26-(Q26*12)=0,ET26&lt;0),-0.000001,ET26-(Q26*12)))</f>
        <v/>
      </c>
      <c r="S26" s="1753" t="str">
        <f t="shared" ref="S26:S40" si="97">IF(ET26="","",IF(OR(DG26="Q",DG26="C"),3,DJ26))</f>
        <v/>
      </c>
      <c r="T26" s="1708">
        <v>0</v>
      </c>
      <c r="U26" s="1709">
        <v>2.25</v>
      </c>
      <c r="V26" s="1705">
        <v>0</v>
      </c>
      <c r="W26" s="1709">
        <v>2</v>
      </c>
      <c r="X26" s="1750">
        <v>4</v>
      </c>
      <c r="Y26" s="1781" t="str">
        <f t="shared" ref="Y26:Y40" si="98">FG26</f>
        <v/>
      </c>
      <c r="Z26" s="1782" t="str">
        <f t="shared" ref="Z26:Z40" si="99">FL26</f>
        <v/>
      </c>
      <c r="AA26" s="1783" t="s">
        <v>1708</v>
      </c>
      <c r="AB26" s="1413"/>
      <c r="AC26" s="964" t="b">
        <v>0</v>
      </c>
      <c r="AD26" s="441">
        <f t="shared" si="1"/>
        <v>0</v>
      </c>
      <c r="AE26" s="442">
        <f t="shared" si="2"/>
        <v>2</v>
      </c>
      <c r="AF26" s="442">
        <f t="shared" si="3"/>
        <v>0</v>
      </c>
      <c r="AG26" s="442">
        <f t="shared" si="4"/>
        <v>0</v>
      </c>
      <c r="AH26" s="443">
        <f t="shared" si="5"/>
        <v>0</v>
      </c>
      <c r="AI26" s="444" t="b">
        <v>0</v>
      </c>
      <c r="AJ26" s="238">
        <f>IF(OR(ISERROR(VALUE(LEFT(C26,SEARCH(AK26,C26)-1))),AK26=""),0,VALUE(LEFT(C26,SEARCH(AK26,C26)-1)))</f>
        <v>32</v>
      </c>
      <c r="AK26" s="238" t="str">
        <f t="shared" si="6"/>
        <v>LH</v>
      </c>
      <c r="AL26" s="1290" t="str">
        <f t="shared" si="7"/>
        <v/>
      </c>
      <c r="AM26" s="238">
        <f t="shared" si="8"/>
        <v>305</v>
      </c>
      <c r="AN26" s="238">
        <f t="shared" si="9"/>
        <v>180</v>
      </c>
      <c r="AO26" s="238" t="str">
        <f t="shared" si="10"/>
        <v/>
      </c>
      <c r="AP26" s="830" t="b">
        <f>IF(ISERROR(AJ26),FALSE,IF(OR(AJ26=0,ISERROR(AL26),ISERROR(AM26),ISERROR(AN26),ISERROR(AO26)),FALSE,IF(AL26&lt;&gt;"",IF(ISERROR(VLOOKUP(SUBSTITUTE(SUBSTITUTE(C26,"R",""),"A",""),TblJoistSize!$A:$A,1,FALSE)),FALSE,TRUE),TRUE)))</f>
        <v>1</v>
      </c>
      <c r="AQ26" s="1038">
        <f t="shared" si="11"/>
        <v>6</v>
      </c>
      <c r="AR26" s="945" t="b">
        <f t="shared" si="83"/>
        <v>1</v>
      </c>
      <c r="AS26" s="1038">
        <f t="shared" si="12"/>
        <v>6</v>
      </c>
      <c r="AT26" s="945" t="b">
        <f t="shared" si="84"/>
        <v>1</v>
      </c>
      <c r="AU26" s="1291" t="str">
        <f t="shared" si="13"/>
        <v>LH</v>
      </c>
      <c r="AV26" s="830" t="str">
        <f t="shared" si="14"/>
        <v/>
      </c>
      <c r="AW26" s="830" t="str">
        <f t="shared" si="81"/>
        <v>LH</v>
      </c>
      <c r="AX26" s="830" t="str">
        <f t="shared" si="85"/>
        <v>J4</v>
      </c>
      <c r="AY26" s="464" t="b">
        <f t="shared" si="15"/>
        <v>0</v>
      </c>
      <c r="AZ26" s="856" t="b">
        <f t="shared" si="82"/>
        <v>0</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16"/>
        <v/>
      </c>
      <c r="BR26" s="1563"/>
      <c r="BS26" s="672"/>
      <c r="BT26" s="982"/>
      <c r="BU26" s="983"/>
      <c r="BV26" s="1625"/>
      <c r="BW26" s="982"/>
      <c r="BX26" s="983"/>
      <c r="BY26" s="1569"/>
      <c r="BZ26" s="1570"/>
      <c r="CA26" s="1617" t="str">
        <f>IF(ISERROR(DE26),"",IF(DE26="","",IF(VLOOKUP(BS26,SectInfo!$B:$N,10,FALSE)="","","X")))</f>
        <v/>
      </c>
      <c r="CB26" s="1561"/>
      <c r="CC26" s="1562" t="str">
        <f t="shared" si="17"/>
        <v/>
      </c>
      <c r="CD26" s="1563"/>
      <c r="CE26" s="1574"/>
      <c r="CF26" s="736"/>
      <c r="CG26" s="737"/>
      <c r="CH26" s="643" t="str">
        <f t="shared" si="18"/>
        <v/>
      </c>
      <c r="CI26" s="644" t="str">
        <f t="shared" si="19"/>
        <v/>
      </c>
      <c r="CJ26" s="645" t="str">
        <f t="shared" si="20"/>
        <v/>
      </c>
      <c r="CK26" s="852" t="str">
        <f t="shared" si="21"/>
        <v/>
      </c>
      <c r="CL26" s="847" t="str">
        <f t="shared" si="22"/>
        <v/>
      </c>
      <c r="CM26" s="848" t="str">
        <f t="shared" si="23"/>
        <v/>
      </c>
      <c r="CN26" s="611" t="str">
        <f t="shared" si="24"/>
        <v/>
      </c>
      <c r="CO26" s="612" t="str">
        <f t="shared" si="25"/>
        <v/>
      </c>
      <c r="CP26" s="615" t="str">
        <f t="shared" si="26"/>
        <v/>
      </c>
      <c r="CQ26" s="616" t="str">
        <f t="shared" si="27"/>
        <v/>
      </c>
      <c r="CR26" s="750">
        <f t="shared" si="28"/>
        <v>5</v>
      </c>
      <c r="CS26" s="751">
        <f t="shared" si="29"/>
        <v>5</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0"/>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1"/>
        <v>0</v>
      </c>
      <c r="DO26" s="818">
        <f t="shared" si="32"/>
        <v>0</v>
      </c>
      <c r="DP26" s="822" t="str">
        <f t="shared" si="33"/>
        <v/>
      </c>
      <c r="DQ26" s="822" t="str">
        <f t="shared" si="34"/>
        <v/>
      </c>
      <c r="DR26" s="822" t="str">
        <f t="shared" si="35"/>
        <v/>
      </c>
      <c r="DS26" s="821">
        <f t="shared" si="36"/>
        <v>0</v>
      </c>
      <c r="DT26" s="821">
        <f t="shared" si="37"/>
        <v>0</v>
      </c>
      <c r="DU26" s="821" t="str">
        <f t="shared" si="38"/>
        <v/>
      </c>
      <c r="DV26" s="822" t="str">
        <f t="shared" si="39"/>
        <v/>
      </c>
      <c r="DW26" s="856" t="str">
        <f t="shared" si="40"/>
        <v/>
      </c>
      <c r="DX26" s="1006">
        <f t="shared" ref="DX26:DX40" si="100">IF(CV26="",0,IF(DW26/COS(FN26-FD26)&lt;0.0625,0,CEILING(DW26/COS(FN26-FD26)-0.03125,0.125)))</f>
        <v>0</v>
      </c>
      <c r="DY26" s="822">
        <f t="shared" si="41"/>
        <v>0</v>
      </c>
      <c r="DZ26" s="821">
        <f t="shared" si="42"/>
        <v>0</v>
      </c>
      <c r="EA26" s="821" t="str">
        <f t="shared" si="43"/>
        <v/>
      </c>
      <c r="EB26" s="822" t="str">
        <f t="shared" ref="EB26:EB40" si="101">IF(DF26="","",(DF26+EA26+(VLOOKUP(IF(AU26="HDR","K",AU26),$DF$2:$DN$9,2,FALSE))*TAN(DY26))/COS(FI26)-FM26)</f>
        <v/>
      </c>
      <c r="EC26" s="856" t="str">
        <f t="shared" si="44"/>
        <v/>
      </c>
      <c r="ED26" s="1006">
        <f t="shared" ref="ED26:ED40" si="102">IF(DF26="",0,IF(EC26/COS(FN26+FI26)&lt;0.0625,0,CEILING(EC26/COS(FN26+FI26)-0.03125,0.125)))</f>
        <v>0</v>
      </c>
      <c r="EE26" s="1293" t="str">
        <f t="shared" si="45"/>
        <v/>
      </c>
      <c r="EF26" s="822" t="str">
        <f t="shared" ref="EF26:EF40" si="103">IF(EE26="ERR","ERR",IF(EE26="","",IF(DB26*TAN(DS26)&lt;=(VLOOKUP(AU26,$DF$2:$DN$9,8,FALSE)-(VLOOKUP(AU26,$DF$2:$DN$9,7,FALSE)-0.0625)),CV26-(EE26-FH26)/IF(OR(CU26="C",AND(CU26="M",$DD$1="N")),1,COS(DS26))-IF(MID(CW26,1,1)="R",0,DW26),(ABS(EE26-FH26)/IF(OR(CU26="C",AND(CU26="M",$DD$1="N")),1,COS(DS26))+CV26)-((DB26/2)*TAN(DS26))-IF(MID(CW26,1,1)="R",0,DW26))))</f>
        <v/>
      </c>
      <c r="EG26" s="822" t="str">
        <f t="shared" ref="EG26:EG40" si="104">IF(EE26="ERR","ERR",IF(EE26="","",IF(DB26*TAN(DS26)&lt;=(VLOOKUP(AU26,$DF$2:$DN$9,8,FALSE)-(VLOOKUP(AU26,$DF$2:$DN$9,7,FALSE)-0.0625)),CV26-(EE26-FH26)/IF(OR(CU26="C",AND(CU26="M",$DD$1="N")),1,COS(DS26))-IF(MID(CW26,1,1)="R",0,DW26),(ABS(EE26-FH26)/IF(OR(CU26="C",AND(CU26="M",$DD$1="N")),1,COS(DS26))+CV26)+((DB26/2)*TAN(DS26))-IF(MID(CW26,1,1)="R",0,DW26))))</f>
        <v/>
      </c>
      <c r="EH26" s="856" t="str">
        <f t="shared" si="46"/>
        <v>ERR</v>
      </c>
      <c r="EI26" s="856" t="str">
        <f t="shared" si="47"/>
        <v>ERR</v>
      </c>
      <c r="EJ26" s="822" t="str">
        <f t="shared" si="48"/>
        <v/>
      </c>
      <c r="EK26" s="822" t="str">
        <f t="shared" si="48"/>
        <v/>
      </c>
      <c r="EL26" s="1293" t="str">
        <f t="shared" si="49"/>
        <v/>
      </c>
      <c r="EM26" s="822" t="str">
        <f t="shared" ref="EM26:EM40" si="105">IF(EL26="ERR","ERR",IF(EL26="","",IF(DL26*TAN(DY26)&lt;=(VLOOKUP(AU26,$DF$2:$DN$9,8,FALSE)-(VLOOKUP(AU26,$DF$2:$DN$9,7,FALSE)-0.0625)),DF26-(EL26-FM26)/IF(OR(DE26="C",AND(DE26="M",$DD$1="N")),1,COS(DY26))-IF(MID(DG26,1,1)="R",0,EC26),(ABS(EL26-FM26)/IF(OR(DE26="C",AND(DE26="M",$DD$1="N")),1,COS(DY26))+DF26)-((DL26/2)*TAN(DY26))-IF(MID(DG26,1,1)="R",0,EC26))))</f>
        <v/>
      </c>
      <c r="EN26" s="822" t="str">
        <f t="shared" ref="EN26:EN40" si="106">IF(EL26="ERR","ERR",IF(EL26="","",IF(DL26*TAN(DY26)&lt;=(VLOOKUP(AU26,$DF$2:$DN$9,8,FALSE)-(VLOOKUP(AU26,$DF$2:$DN$9,7,FALSE)-0.0625)),DF26-(EL26-FM26)/IF(OR(DE26="C",AND(DE26="M",$DD$1="N")),1,COS(DY26))-IF(MID(DG26,1,1)="R",0,EC26),(ABS(EL26-FM26)/IF(OR(DE26="C",AND(DE26="M",$DD$1="N")),1,COS(DY26))+DF26)+((DL26/2)*TAN(DY26))-IF(MID(DG26,1,1)="R",0,EC26))))</f>
        <v/>
      </c>
      <c r="EO26" s="856" t="str">
        <f t="shared" si="50"/>
        <v>ERR</v>
      </c>
      <c r="EP26" s="856" t="str">
        <f t="shared" si="51"/>
        <v>ERR</v>
      </c>
      <c r="EQ26" s="822" t="str">
        <f t="shared" si="52"/>
        <v/>
      </c>
      <c r="ER26" s="822" t="str">
        <f t="shared" si="52"/>
        <v/>
      </c>
      <c r="ES26" s="822" t="str">
        <f t="shared" si="53"/>
        <v/>
      </c>
      <c r="ET26" s="822" t="str">
        <f t="shared" si="54"/>
        <v/>
      </c>
      <c r="EU26" s="829">
        <f t="shared" si="55"/>
        <v>4</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56"/>
        <v/>
      </c>
      <c r="FA26" s="829" t="str">
        <f>IF(AND(DE26="G", ISBLANK(BW26), ISBLANK(BX26)),VLOOKUP(MIN(BT26:BU26),TblJoistSize!$M$3:$N$10,2),IF(OR(DE26="B", DE26="G"),MIN(BW26:BX26),""))</f>
        <v/>
      </c>
      <c r="FB26" s="829" t="str">
        <f>IF(AND(DE26="G", ISBLANK(BW26), ISBLANK(BX26)),VLOOKUP(MAX(BT26:BU26),TblJoistSize!$M$3:$N$10,2),IF(OR(DE26="B", DE26="G"),MAX(BW26:BX26),""))</f>
        <v/>
      </c>
      <c r="FC26" s="829" t="str">
        <f t="shared" si="57"/>
        <v/>
      </c>
      <c r="FD26" s="822">
        <f t="shared" si="58"/>
        <v>0</v>
      </c>
      <c r="FE26" s="822">
        <f t="shared" si="59"/>
        <v>0</v>
      </c>
      <c r="FF26" s="821">
        <f t="shared" si="60"/>
        <v>0</v>
      </c>
      <c r="FG26" s="821" t="str">
        <f t="shared" si="61"/>
        <v/>
      </c>
      <c r="FH26" s="822" t="str">
        <f t="shared" si="62"/>
        <v/>
      </c>
      <c r="FI26" s="822">
        <f t="shared" si="63"/>
        <v>0</v>
      </c>
      <c r="FJ26" s="822">
        <f t="shared" si="64"/>
        <v>0</v>
      </c>
      <c r="FK26" s="821">
        <f t="shared" si="65"/>
        <v>0</v>
      </c>
      <c r="FL26" s="821" t="str">
        <f t="shared" si="66"/>
        <v/>
      </c>
      <c r="FM26" s="822" t="str">
        <f t="shared" si="67"/>
        <v/>
      </c>
      <c r="FN26" s="822" t="e">
        <f t="shared" si="68"/>
        <v>#VALUE!</v>
      </c>
      <c r="FO26" s="940" t="e">
        <f t="shared" si="69"/>
        <v>#VALUE!</v>
      </c>
      <c r="FP26" s="940" t="e">
        <f t="shared" si="70"/>
        <v>#VALUE!</v>
      </c>
      <c r="FQ26" s="830" t="e">
        <f t="shared" si="71"/>
        <v>#VALUE!</v>
      </c>
      <c r="FR26" s="831" t="e">
        <f t="shared" si="72"/>
        <v>#VALUE!</v>
      </c>
      <c r="FS26" s="832" t="str">
        <f t="shared" si="73"/>
        <v/>
      </c>
      <c r="FT26" s="833" t="str">
        <f t="shared" si="74"/>
        <v/>
      </c>
      <c r="FU26" s="870">
        <f t="shared" si="75"/>
        <v>0</v>
      </c>
      <c r="FV26" s="871">
        <f t="shared" si="76"/>
        <v>0</v>
      </c>
      <c r="GA26" s="1791">
        <v>40</v>
      </c>
      <c r="GB26" s="1792">
        <v>0.75</v>
      </c>
      <c r="GC26" s="1793">
        <v>-0.25</v>
      </c>
      <c r="GD26" s="1794">
        <v>-0.5</v>
      </c>
      <c r="GE26" s="1795">
        <f t="shared" si="77"/>
        <v>0</v>
      </c>
      <c r="GF26" s="600" t="str">
        <f t="shared" si="78"/>
        <v>J4</v>
      </c>
      <c r="GG26" s="1130">
        <v>0</v>
      </c>
      <c r="GH26" s="1131">
        <v>0</v>
      </c>
      <c r="GI26" s="1130"/>
      <c r="GJ26" s="1131"/>
      <c r="GK26" s="1636">
        <f t="shared" si="79"/>
        <v>480</v>
      </c>
      <c r="GL26" s="1636">
        <f t="shared" si="80"/>
        <v>480</v>
      </c>
      <c r="GM26" s="1637">
        <f>IF(ABS(GK26-GL26)&gt;='Job Info.'!$L$22,ABS(GK26-GL26),0)</f>
        <v>0</v>
      </c>
      <c r="GZ26" s="415"/>
      <c r="HA26" s="1391" t="s">
        <v>1434</v>
      </c>
      <c r="HB26" s="1392">
        <v>2</v>
      </c>
      <c r="HC26" s="1392" t="s">
        <v>1592</v>
      </c>
      <c r="HD26" s="1393">
        <v>40</v>
      </c>
      <c r="HE26" s="1394">
        <v>0</v>
      </c>
      <c r="HF26" s="1392" t="s">
        <v>116</v>
      </c>
      <c r="HG26" s="1392" t="s">
        <v>116</v>
      </c>
      <c r="HH26" s="1392" t="s">
        <v>116</v>
      </c>
      <c r="HI26" s="1395" t="s">
        <v>116</v>
      </c>
      <c r="HJ26" s="1392" t="s">
        <v>116</v>
      </c>
      <c r="HK26" s="1392" t="s">
        <v>116</v>
      </c>
      <c r="HL26" s="1392">
        <v>5</v>
      </c>
      <c r="HM26" s="1392">
        <v>5</v>
      </c>
      <c r="HN26" s="1392" t="s">
        <v>116</v>
      </c>
      <c r="HO26" s="1392" t="s">
        <v>116</v>
      </c>
      <c r="HP26" s="1392" t="s">
        <v>116</v>
      </c>
      <c r="HQ26" s="1395" t="s">
        <v>116</v>
      </c>
      <c r="HR26" s="1392" t="s">
        <v>116</v>
      </c>
      <c r="HS26" s="1392" t="s">
        <v>116</v>
      </c>
      <c r="HT26" s="1392">
        <v>0</v>
      </c>
      <c r="HU26" s="1392">
        <v>2.25</v>
      </c>
      <c r="HV26" s="1392">
        <v>0</v>
      </c>
      <c r="HW26" s="1394">
        <v>2</v>
      </c>
      <c r="HX26" s="1394">
        <v>4</v>
      </c>
      <c r="HY26" s="1394" t="s">
        <v>116</v>
      </c>
      <c r="HZ26" s="1394" t="s">
        <v>116</v>
      </c>
      <c r="IA26" s="1394" t="s">
        <v>1649</v>
      </c>
      <c r="IB26" s="1394"/>
      <c r="IC26" s="1394"/>
      <c r="ID26" s="1394"/>
      <c r="IE26" s="1394"/>
      <c r="IF26" s="1396"/>
    </row>
    <row r="27" spans="1:240" ht="12.6" customHeight="1" x14ac:dyDescent="0.25">
      <c r="A27" s="1448" t="s">
        <v>1435</v>
      </c>
      <c r="B27" s="1681">
        <v>1</v>
      </c>
      <c r="C27" s="1449" t="s">
        <v>1592</v>
      </c>
      <c r="D27" s="1705">
        <v>40</v>
      </c>
      <c r="E27" s="1778">
        <v>0</v>
      </c>
      <c r="F27" s="1708" t="str">
        <f t="shared" si="86"/>
        <v/>
      </c>
      <c r="G27" s="1709" t="str">
        <f t="shared" si="87"/>
        <v/>
      </c>
      <c r="H27" s="1779" t="str">
        <f t="shared" si="88"/>
        <v/>
      </c>
      <c r="I27" s="1705" t="str">
        <f t="shared" si="89"/>
        <v/>
      </c>
      <c r="J27" s="1709" t="str">
        <f t="shared" si="90"/>
        <v/>
      </c>
      <c r="K27" s="1780" t="str">
        <f t="shared" si="91"/>
        <v/>
      </c>
      <c r="L27" s="1712">
        <v>5</v>
      </c>
      <c r="M27" s="1713">
        <v>5</v>
      </c>
      <c r="N27" s="1708" t="str">
        <f t="shared" si="92"/>
        <v/>
      </c>
      <c r="O27" s="1709" t="str">
        <f t="shared" si="93"/>
        <v/>
      </c>
      <c r="P27" s="1710" t="str">
        <f t="shared" si="94"/>
        <v/>
      </c>
      <c r="Q27" s="1705" t="str">
        <f t="shared" si="95"/>
        <v/>
      </c>
      <c r="R27" s="1709" t="str">
        <f t="shared" si="96"/>
        <v/>
      </c>
      <c r="S27" s="1753" t="str">
        <f t="shared" si="97"/>
        <v/>
      </c>
      <c r="T27" s="1708">
        <v>0</v>
      </c>
      <c r="U27" s="1709">
        <v>2.25</v>
      </c>
      <c r="V27" s="1705">
        <v>0</v>
      </c>
      <c r="W27" s="1709">
        <v>2</v>
      </c>
      <c r="X27" s="1750">
        <v>4</v>
      </c>
      <c r="Y27" s="1781" t="str">
        <f t="shared" si="98"/>
        <v/>
      </c>
      <c r="Z27" s="1782" t="str">
        <f t="shared" si="99"/>
        <v/>
      </c>
      <c r="AA27" s="1783" t="s">
        <v>1709</v>
      </c>
      <c r="AB27" s="1413"/>
      <c r="AC27" s="964" t="b">
        <v>0</v>
      </c>
      <c r="AD27" s="441">
        <f t="shared" si="1"/>
        <v>0</v>
      </c>
      <c r="AE27" s="442">
        <f t="shared" si="2"/>
        <v>1</v>
      </c>
      <c r="AF27" s="442">
        <f t="shared" si="3"/>
        <v>0</v>
      </c>
      <c r="AG27" s="442">
        <f t="shared" si="4"/>
        <v>0</v>
      </c>
      <c r="AH27" s="443">
        <f t="shared" si="5"/>
        <v>0</v>
      </c>
      <c r="AI27" s="444" t="b">
        <v>0</v>
      </c>
      <c r="AJ27" s="238">
        <f>IF(OR(ISERROR(VALUE(LEFT(C27,SEARCH(AK27,C27)-1))),AK27=""),0,VALUE(LEFT(C27,SEARCH(AK27,C27)-1)))</f>
        <v>32</v>
      </c>
      <c r="AK27" s="238" t="str">
        <f t="shared" si="6"/>
        <v>LH</v>
      </c>
      <c r="AL27" s="1290" t="str">
        <f t="shared" si="7"/>
        <v/>
      </c>
      <c r="AM27" s="238">
        <f t="shared" si="8"/>
        <v>305</v>
      </c>
      <c r="AN27" s="238">
        <f t="shared" si="9"/>
        <v>180</v>
      </c>
      <c r="AO27" s="238" t="str">
        <f t="shared" si="10"/>
        <v/>
      </c>
      <c r="AP27" s="830" t="b">
        <f>IF(ISERROR(AJ27),FALSE,IF(OR(AJ27=0,ISERROR(AL27),ISERROR(AM27),ISERROR(AN27),ISERROR(AO27)),FALSE,IF(AL27&lt;&gt;"",IF(ISERROR(VLOOKUP(SUBSTITUTE(SUBSTITUTE(C27,"R",""),"A",""),TblJoistSize!$A:$A,1,FALSE)),FALSE,TRUE),TRUE)))</f>
        <v>1</v>
      </c>
      <c r="AQ27" s="1038">
        <f t="shared" si="11"/>
        <v>6</v>
      </c>
      <c r="AR27" s="945" t="b">
        <f t="shared" si="83"/>
        <v>1</v>
      </c>
      <c r="AS27" s="1038">
        <f t="shared" si="12"/>
        <v>6</v>
      </c>
      <c r="AT27" s="945" t="b">
        <f t="shared" si="84"/>
        <v>1</v>
      </c>
      <c r="AU27" s="1291" t="str">
        <f t="shared" si="13"/>
        <v>LH</v>
      </c>
      <c r="AV27" s="830" t="str">
        <f t="shared" si="14"/>
        <v/>
      </c>
      <c r="AW27" s="830" t="str">
        <f t="shared" si="81"/>
        <v>LH</v>
      </c>
      <c r="AX27" s="830" t="str">
        <f t="shared" si="85"/>
        <v>J5</v>
      </c>
      <c r="AY27" s="464" t="b">
        <f t="shared" si="15"/>
        <v>0</v>
      </c>
      <c r="AZ27" s="856" t="b">
        <f t="shared" si="82"/>
        <v>0</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16"/>
        <v/>
      </c>
      <c r="BR27" s="1563"/>
      <c r="BS27" s="672"/>
      <c r="BT27" s="982"/>
      <c r="BU27" s="983"/>
      <c r="BV27" s="1625"/>
      <c r="BW27" s="982"/>
      <c r="BX27" s="983"/>
      <c r="BY27" s="1569"/>
      <c r="BZ27" s="1570"/>
      <c r="CA27" s="1617" t="str">
        <f>IF(ISERROR(DE27),"",IF(DE27="","",IF(VLOOKUP(BS27,SectInfo!$B:$N,10,FALSE)="","","X")))</f>
        <v/>
      </c>
      <c r="CB27" s="1561"/>
      <c r="CC27" s="1562" t="str">
        <f t="shared" si="17"/>
        <v/>
      </c>
      <c r="CD27" s="1563"/>
      <c r="CE27" s="1574"/>
      <c r="CF27" s="736"/>
      <c r="CG27" s="737"/>
      <c r="CH27" s="643" t="str">
        <f t="shared" si="18"/>
        <v/>
      </c>
      <c r="CI27" s="644" t="str">
        <f t="shared" si="19"/>
        <v/>
      </c>
      <c r="CJ27" s="645" t="str">
        <f t="shared" si="20"/>
        <v/>
      </c>
      <c r="CK27" s="852" t="str">
        <f t="shared" si="21"/>
        <v/>
      </c>
      <c r="CL27" s="847" t="str">
        <f t="shared" si="22"/>
        <v/>
      </c>
      <c r="CM27" s="848" t="str">
        <f t="shared" si="23"/>
        <v/>
      </c>
      <c r="CN27" s="611" t="str">
        <f t="shared" si="24"/>
        <v/>
      </c>
      <c r="CO27" s="612" t="str">
        <f t="shared" si="25"/>
        <v/>
      </c>
      <c r="CP27" s="615" t="str">
        <f t="shared" si="26"/>
        <v/>
      </c>
      <c r="CQ27" s="616" t="str">
        <f t="shared" si="27"/>
        <v/>
      </c>
      <c r="CR27" s="750">
        <f t="shared" si="28"/>
        <v>5</v>
      </c>
      <c r="CS27" s="751">
        <f t="shared" si="29"/>
        <v>5</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0"/>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1"/>
        <v>0</v>
      </c>
      <c r="DO27" s="818">
        <f t="shared" si="32"/>
        <v>0</v>
      </c>
      <c r="DP27" s="822" t="str">
        <f t="shared" si="33"/>
        <v/>
      </c>
      <c r="DQ27" s="822" t="str">
        <f t="shared" si="34"/>
        <v/>
      </c>
      <c r="DR27" s="822" t="str">
        <f t="shared" si="35"/>
        <v/>
      </c>
      <c r="DS27" s="821">
        <f t="shared" si="36"/>
        <v>0</v>
      </c>
      <c r="DT27" s="821">
        <f t="shared" si="37"/>
        <v>0</v>
      </c>
      <c r="DU27" s="821" t="str">
        <f t="shared" si="38"/>
        <v/>
      </c>
      <c r="DV27" s="822" t="str">
        <f t="shared" si="39"/>
        <v/>
      </c>
      <c r="DW27" s="856" t="str">
        <f t="shared" si="40"/>
        <v/>
      </c>
      <c r="DX27" s="1006">
        <f t="shared" si="100"/>
        <v>0</v>
      </c>
      <c r="DY27" s="822">
        <f t="shared" si="41"/>
        <v>0</v>
      </c>
      <c r="DZ27" s="821">
        <f t="shared" si="42"/>
        <v>0</v>
      </c>
      <c r="EA27" s="821" t="str">
        <f t="shared" si="43"/>
        <v/>
      </c>
      <c r="EB27" s="822" t="str">
        <f t="shared" si="101"/>
        <v/>
      </c>
      <c r="EC27" s="856" t="str">
        <f t="shared" si="44"/>
        <v/>
      </c>
      <c r="ED27" s="1006">
        <f t="shared" si="102"/>
        <v>0</v>
      </c>
      <c r="EE27" s="1293" t="str">
        <f t="shared" si="45"/>
        <v/>
      </c>
      <c r="EF27" s="822" t="str">
        <f t="shared" si="103"/>
        <v/>
      </c>
      <c r="EG27" s="822" t="str">
        <f t="shared" si="104"/>
        <v/>
      </c>
      <c r="EH27" s="856" t="str">
        <f t="shared" si="46"/>
        <v>ERR</v>
      </c>
      <c r="EI27" s="856" t="str">
        <f t="shared" si="47"/>
        <v>ERR</v>
      </c>
      <c r="EJ27" s="822" t="str">
        <f t="shared" si="48"/>
        <v/>
      </c>
      <c r="EK27" s="822" t="str">
        <f t="shared" si="48"/>
        <v/>
      </c>
      <c r="EL27" s="1293" t="str">
        <f t="shared" si="49"/>
        <v/>
      </c>
      <c r="EM27" s="822" t="str">
        <f t="shared" si="105"/>
        <v/>
      </c>
      <c r="EN27" s="822" t="str">
        <f t="shared" si="106"/>
        <v/>
      </c>
      <c r="EO27" s="856" t="str">
        <f t="shared" si="50"/>
        <v>ERR</v>
      </c>
      <c r="EP27" s="856" t="str">
        <f t="shared" si="51"/>
        <v>ERR</v>
      </c>
      <c r="EQ27" s="822" t="str">
        <f t="shared" si="52"/>
        <v/>
      </c>
      <c r="ER27" s="822" t="str">
        <f t="shared" si="52"/>
        <v/>
      </c>
      <c r="ES27" s="822" t="str">
        <f t="shared" si="53"/>
        <v/>
      </c>
      <c r="ET27" s="822" t="str">
        <f t="shared" si="54"/>
        <v/>
      </c>
      <c r="EU27" s="829">
        <f t="shared" si="55"/>
        <v>4</v>
      </c>
      <c r="EV27" s="824" t="str">
        <f t="shared" ref="EV27:EV40" si="10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56"/>
        <v/>
      </c>
      <c r="FA27" s="829" t="str">
        <f>IF(AND(DE27="G", ISBLANK(BW27), ISBLANK(BX27)),VLOOKUP(MIN(BT27:BU27),TblJoistSize!$M$3:$N$10,2),IF(OR(DE27="B", DE27="G"),MIN(BW27:BX27),""))</f>
        <v/>
      </c>
      <c r="FB27" s="829" t="str">
        <f>IF(AND(DE27="G", ISBLANK(BW27), ISBLANK(BX27)),VLOOKUP(MAX(BT27:BU27),TblJoistSize!$M$3:$N$10,2),IF(OR(DE27="B", DE27="G"),MAX(BW27:BX27),""))</f>
        <v/>
      </c>
      <c r="FC27" s="829" t="str">
        <f t="shared" si="57"/>
        <v/>
      </c>
      <c r="FD27" s="822">
        <f t="shared" si="58"/>
        <v>0</v>
      </c>
      <c r="FE27" s="822">
        <f t="shared" si="59"/>
        <v>0</v>
      </c>
      <c r="FF27" s="821">
        <f t="shared" si="60"/>
        <v>0</v>
      </c>
      <c r="FG27" s="821" t="str">
        <f t="shared" si="61"/>
        <v/>
      </c>
      <c r="FH27" s="822" t="str">
        <f t="shared" si="62"/>
        <v/>
      </c>
      <c r="FI27" s="822">
        <f t="shared" si="63"/>
        <v>0</v>
      </c>
      <c r="FJ27" s="822">
        <f t="shared" si="64"/>
        <v>0</v>
      </c>
      <c r="FK27" s="821">
        <f t="shared" si="65"/>
        <v>0</v>
      </c>
      <c r="FL27" s="821" t="str">
        <f t="shared" si="66"/>
        <v/>
      </c>
      <c r="FM27" s="822" t="str">
        <f t="shared" si="67"/>
        <v/>
      </c>
      <c r="FN27" s="822" t="e">
        <f t="shared" si="68"/>
        <v>#VALUE!</v>
      </c>
      <c r="FO27" s="940" t="e">
        <f t="shared" si="69"/>
        <v>#VALUE!</v>
      </c>
      <c r="FP27" s="940" t="e">
        <f t="shared" si="70"/>
        <v>#VALUE!</v>
      </c>
      <c r="FQ27" s="830" t="e">
        <f t="shared" si="71"/>
        <v>#VALUE!</v>
      </c>
      <c r="FR27" s="831" t="e">
        <f t="shared" si="72"/>
        <v>#VALUE!</v>
      </c>
      <c r="FS27" s="832" t="str">
        <f t="shared" si="73"/>
        <v/>
      </c>
      <c r="FT27" s="833" t="str">
        <f t="shared" si="74"/>
        <v/>
      </c>
      <c r="FU27" s="870">
        <f t="shared" si="75"/>
        <v>0</v>
      </c>
      <c r="FV27" s="871">
        <f t="shared" si="76"/>
        <v>0</v>
      </c>
      <c r="GA27" s="1791">
        <v>40</v>
      </c>
      <c r="GB27" s="1792">
        <v>0.75</v>
      </c>
      <c r="GC27" s="1793">
        <v>-0.25</v>
      </c>
      <c r="GD27" s="1794">
        <v>-0.5</v>
      </c>
      <c r="GE27" s="1795">
        <f t="shared" si="77"/>
        <v>0</v>
      </c>
      <c r="GF27" s="600" t="str">
        <f t="shared" si="78"/>
        <v>J5</v>
      </c>
      <c r="GG27" s="1130">
        <v>0</v>
      </c>
      <c r="GH27" s="1131">
        <v>0</v>
      </c>
      <c r="GI27" s="1130"/>
      <c r="GJ27" s="1131"/>
      <c r="GK27" s="1636">
        <f t="shared" si="79"/>
        <v>480</v>
      </c>
      <c r="GL27" s="1636">
        <f t="shared" si="80"/>
        <v>480</v>
      </c>
      <c r="GM27" s="1637">
        <f>IF(ABS(GK27-GL27)&gt;='Job Info.'!$L$22,ABS(GK27-GL27),0)</f>
        <v>0</v>
      </c>
      <c r="GZ27" s="415"/>
      <c r="HA27" s="1391" t="s">
        <v>1435</v>
      </c>
      <c r="HB27" s="1392">
        <v>1</v>
      </c>
      <c r="HC27" s="1392" t="s">
        <v>1592</v>
      </c>
      <c r="HD27" s="1393">
        <v>40</v>
      </c>
      <c r="HE27" s="1394">
        <v>0</v>
      </c>
      <c r="HF27" s="1392" t="s">
        <v>116</v>
      </c>
      <c r="HG27" s="1392" t="s">
        <v>116</v>
      </c>
      <c r="HH27" s="1392" t="s">
        <v>116</v>
      </c>
      <c r="HI27" s="1395" t="s">
        <v>116</v>
      </c>
      <c r="HJ27" s="1392" t="s">
        <v>116</v>
      </c>
      <c r="HK27" s="1392" t="s">
        <v>116</v>
      </c>
      <c r="HL27" s="1392">
        <v>5</v>
      </c>
      <c r="HM27" s="1392">
        <v>5</v>
      </c>
      <c r="HN27" s="1392" t="s">
        <v>116</v>
      </c>
      <c r="HO27" s="1392" t="s">
        <v>116</v>
      </c>
      <c r="HP27" s="1392" t="s">
        <v>116</v>
      </c>
      <c r="HQ27" s="1395" t="s">
        <v>116</v>
      </c>
      <c r="HR27" s="1392" t="s">
        <v>116</v>
      </c>
      <c r="HS27" s="1392" t="s">
        <v>116</v>
      </c>
      <c r="HT27" s="1392">
        <v>0</v>
      </c>
      <c r="HU27" s="1392">
        <v>2.25</v>
      </c>
      <c r="HV27" s="1392">
        <v>0</v>
      </c>
      <c r="HW27" s="1394">
        <v>2</v>
      </c>
      <c r="HX27" s="1394">
        <v>4</v>
      </c>
      <c r="HY27" s="1394" t="s">
        <v>116</v>
      </c>
      <c r="HZ27" s="1394" t="s">
        <v>116</v>
      </c>
      <c r="IA27" s="1394" t="s">
        <v>1650</v>
      </c>
      <c r="IB27" s="1394"/>
      <c r="IC27" s="1394"/>
      <c r="ID27" s="1394"/>
      <c r="IE27" s="1394"/>
      <c r="IF27" s="1396"/>
    </row>
    <row r="28" spans="1:240" ht="12.6" customHeight="1" x14ac:dyDescent="0.25">
      <c r="A28" s="1448" t="s">
        <v>1436</v>
      </c>
      <c r="B28" s="1681">
        <v>11</v>
      </c>
      <c r="C28" s="1449" t="s">
        <v>1592</v>
      </c>
      <c r="D28" s="1705">
        <v>40</v>
      </c>
      <c r="E28" s="1778">
        <v>0</v>
      </c>
      <c r="F28" s="1708" t="str">
        <f t="shared" si="86"/>
        <v/>
      </c>
      <c r="G28" s="1709" t="str">
        <f t="shared" si="87"/>
        <v/>
      </c>
      <c r="H28" s="1779" t="str">
        <f t="shared" si="88"/>
        <v/>
      </c>
      <c r="I28" s="1705" t="str">
        <f t="shared" si="89"/>
        <v/>
      </c>
      <c r="J28" s="1709" t="str">
        <f t="shared" si="90"/>
        <v/>
      </c>
      <c r="K28" s="1780" t="str">
        <f t="shared" si="91"/>
        <v/>
      </c>
      <c r="L28" s="1712">
        <v>5</v>
      </c>
      <c r="M28" s="1713">
        <v>5</v>
      </c>
      <c r="N28" s="1708" t="str">
        <f t="shared" si="92"/>
        <v/>
      </c>
      <c r="O28" s="1709" t="str">
        <f t="shared" si="93"/>
        <v/>
      </c>
      <c r="P28" s="1710" t="str">
        <f t="shared" si="94"/>
        <v/>
      </c>
      <c r="Q28" s="1705" t="str">
        <f t="shared" si="95"/>
        <v/>
      </c>
      <c r="R28" s="1709" t="str">
        <f t="shared" si="96"/>
        <v/>
      </c>
      <c r="S28" s="1753" t="str">
        <f t="shared" si="97"/>
        <v/>
      </c>
      <c r="T28" s="1708">
        <v>0</v>
      </c>
      <c r="U28" s="1709">
        <v>2.25</v>
      </c>
      <c r="V28" s="1705">
        <v>0</v>
      </c>
      <c r="W28" s="1709">
        <v>2</v>
      </c>
      <c r="X28" s="1750">
        <v>4</v>
      </c>
      <c r="Y28" s="1781" t="str">
        <f t="shared" si="98"/>
        <v/>
      </c>
      <c r="Z28" s="1782" t="str">
        <f t="shared" si="99"/>
        <v/>
      </c>
      <c r="AA28" s="1783" t="s">
        <v>1710</v>
      </c>
      <c r="AB28" s="1413"/>
      <c r="AC28" s="964" t="b">
        <v>0</v>
      </c>
      <c r="AD28" s="441">
        <f t="shared" si="1"/>
        <v>0</v>
      </c>
      <c r="AE28" s="442">
        <f t="shared" si="2"/>
        <v>11</v>
      </c>
      <c r="AF28" s="442">
        <f t="shared" si="3"/>
        <v>0</v>
      </c>
      <c r="AG28" s="442">
        <f t="shared" si="4"/>
        <v>0</v>
      </c>
      <c r="AH28" s="443">
        <f t="shared" si="5"/>
        <v>0</v>
      </c>
      <c r="AI28" s="444" t="b">
        <v>0</v>
      </c>
      <c r="AJ28" s="238">
        <f t="shared" ref="AJ28:AJ40" si="108">IF(OR(ISERROR(VALUE(LEFT(C28,SEARCH(AK28,C28)-1))),AK28=""),0,VALUE(LEFT(C28,SEARCH(AK28,C28)-1)))</f>
        <v>32</v>
      </c>
      <c r="AK28" s="238" t="str">
        <f t="shared" si="6"/>
        <v>LH</v>
      </c>
      <c r="AL28" s="1290" t="str">
        <f t="shared" si="7"/>
        <v/>
      </c>
      <c r="AM28" s="238">
        <f t="shared" si="8"/>
        <v>305</v>
      </c>
      <c r="AN28" s="238">
        <f t="shared" si="9"/>
        <v>180</v>
      </c>
      <c r="AO28" s="238" t="str">
        <f t="shared" si="10"/>
        <v/>
      </c>
      <c r="AP28" s="830" t="b">
        <f>IF(ISERROR(AJ28),FALSE,IF(OR(AJ28=0,ISERROR(AL28),ISERROR(AM28),ISERROR(AN28),ISERROR(AO28)),FALSE,IF(AL28&lt;&gt;"",IF(ISERROR(VLOOKUP(SUBSTITUTE(SUBSTITUTE(C28,"R",""),"A",""),TblJoistSize!$A:$A,1,FALSE)),FALSE,TRUE),TRUE)))</f>
        <v>1</v>
      </c>
      <c r="AQ28" s="1038">
        <f t="shared" si="11"/>
        <v>6</v>
      </c>
      <c r="AR28" s="945" t="b">
        <f t="shared" si="83"/>
        <v>1</v>
      </c>
      <c r="AS28" s="1038">
        <f t="shared" si="12"/>
        <v>6</v>
      </c>
      <c r="AT28" s="945" t="b">
        <f t="shared" si="84"/>
        <v>1</v>
      </c>
      <c r="AU28" s="1291" t="str">
        <f t="shared" si="13"/>
        <v>LH</v>
      </c>
      <c r="AV28" s="830" t="str">
        <f t="shared" si="14"/>
        <v/>
      </c>
      <c r="AW28" s="830" t="str">
        <f t="shared" si="81"/>
        <v>LH</v>
      </c>
      <c r="AX28" s="830" t="str">
        <f t="shared" si="85"/>
        <v>J6</v>
      </c>
      <c r="AY28" s="464" t="b">
        <f t="shared" si="15"/>
        <v>0</v>
      </c>
      <c r="AZ28" s="856" t="b">
        <f t="shared" si="82"/>
        <v>0</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16"/>
        <v/>
      </c>
      <c r="BR28" s="1563"/>
      <c r="BS28" s="672"/>
      <c r="BT28" s="982"/>
      <c r="BU28" s="983"/>
      <c r="BV28" s="1625"/>
      <c r="BW28" s="982"/>
      <c r="BX28" s="983"/>
      <c r="BY28" s="1569"/>
      <c r="BZ28" s="1570"/>
      <c r="CA28" s="1617" t="str">
        <f>IF(ISERROR(DE28),"",IF(DE28="","",IF(VLOOKUP(BS28,SectInfo!$B:$N,10,FALSE)="","","X")))</f>
        <v/>
      </c>
      <c r="CB28" s="1561"/>
      <c r="CC28" s="1562" t="str">
        <f t="shared" si="17"/>
        <v/>
      </c>
      <c r="CD28" s="1563"/>
      <c r="CE28" s="1574"/>
      <c r="CF28" s="736"/>
      <c r="CG28" s="737"/>
      <c r="CH28" s="643" t="str">
        <f t="shared" si="18"/>
        <v/>
      </c>
      <c r="CI28" s="644" t="str">
        <f t="shared" si="19"/>
        <v/>
      </c>
      <c r="CJ28" s="645" t="str">
        <f t="shared" si="20"/>
        <v/>
      </c>
      <c r="CK28" s="852" t="str">
        <f t="shared" si="21"/>
        <v/>
      </c>
      <c r="CL28" s="847" t="str">
        <f t="shared" si="22"/>
        <v/>
      </c>
      <c r="CM28" s="848" t="str">
        <f t="shared" si="23"/>
        <v/>
      </c>
      <c r="CN28" s="611" t="str">
        <f t="shared" si="24"/>
        <v/>
      </c>
      <c r="CO28" s="612" t="str">
        <f t="shared" si="25"/>
        <v/>
      </c>
      <c r="CP28" s="615" t="str">
        <f t="shared" si="26"/>
        <v/>
      </c>
      <c r="CQ28" s="616" t="str">
        <f t="shared" si="27"/>
        <v/>
      </c>
      <c r="CR28" s="750">
        <f t="shared" si="28"/>
        <v>5</v>
      </c>
      <c r="CS28" s="751">
        <f t="shared" si="29"/>
        <v>5</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0"/>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1"/>
        <v>0</v>
      </c>
      <c r="DO28" s="818">
        <f t="shared" si="32"/>
        <v>0</v>
      </c>
      <c r="DP28" s="822" t="str">
        <f t="shared" si="33"/>
        <v/>
      </c>
      <c r="DQ28" s="822" t="str">
        <f t="shared" si="34"/>
        <v/>
      </c>
      <c r="DR28" s="822" t="str">
        <f t="shared" si="35"/>
        <v/>
      </c>
      <c r="DS28" s="821">
        <f t="shared" si="36"/>
        <v>0</v>
      </c>
      <c r="DT28" s="821">
        <f t="shared" si="37"/>
        <v>0</v>
      </c>
      <c r="DU28" s="821" t="str">
        <f t="shared" si="38"/>
        <v/>
      </c>
      <c r="DV28" s="822" t="str">
        <f t="shared" si="39"/>
        <v/>
      </c>
      <c r="DW28" s="856" t="str">
        <f t="shared" si="40"/>
        <v/>
      </c>
      <c r="DX28" s="1006">
        <f t="shared" si="100"/>
        <v>0</v>
      </c>
      <c r="DY28" s="822">
        <f t="shared" si="41"/>
        <v>0</v>
      </c>
      <c r="DZ28" s="821">
        <f t="shared" si="42"/>
        <v>0</v>
      </c>
      <c r="EA28" s="821" t="str">
        <f t="shared" si="43"/>
        <v/>
      </c>
      <c r="EB28" s="822" t="str">
        <f t="shared" si="101"/>
        <v/>
      </c>
      <c r="EC28" s="856" t="str">
        <f t="shared" si="44"/>
        <v/>
      </c>
      <c r="ED28" s="1006">
        <f t="shared" si="102"/>
        <v>0</v>
      </c>
      <c r="EE28" s="1293" t="str">
        <f t="shared" si="45"/>
        <v/>
      </c>
      <c r="EF28" s="822" t="str">
        <f t="shared" si="103"/>
        <v/>
      </c>
      <c r="EG28" s="822" t="str">
        <f t="shared" si="104"/>
        <v/>
      </c>
      <c r="EH28" s="856" t="str">
        <f t="shared" si="46"/>
        <v>ERR</v>
      </c>
      <c r="EI28" s="856" t="str">
        <f t="shared" si="47"/>
        <v>ERR</v>
      </c>
      <c r="EJ28" s="822" t="str">
        <f t="shared" si="48"/>
        <v/>
      </c>
      <c r="EK28" s="822" t="str">
        <f t="shared" si="48"/>
        <v/>
      </c>
      <c r="EL28" s="1293" t="str">
        <f t="shared" si="49"/>
        <v/>
      </c>
      <c r="EM28" s="822" t="str">
        <f t="shared" si="105"/>
        <v/>
      </c>
      <c r="EN28" s="822" t="str">
        <f t="shared" si="106"/>
        <v/>
      </c>
      <c r="EO28" s="856" t="str">
        <f t="shared" si="50"/>
        <v>ERR</v>
      </c>
      <c r="EP28" s="856" t="str">
        <f t="shared" si="51"/>
        <v>ERR</v>
      </c>
      <c r="EQ28" s="822" t="str">
        <f t="shared" si="52"/>
        <v/>
      </c>
      <c r="ER28" s="822" t="str">
        <f t="shared" si="52"/>
        <v/>
      </c>
      <c r="ES28" s="822" t="str">
        <f t="shared" si="53"/>
        <v/>
      </c>
      <c r="ET28" s="822" t="str">
        <f t="shared" si="54"/>
        <v/>
      </c>
      <c r="EU28" s="829">
        <f t="shared" si="55"/>
        <v>4</v>
      </c>
      <c r="EV28" s="824" t="str">
        <f t="shared" si="10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56"/>
        <v/>
      </c>
      <c r="FA28" s="829" t="str">
        <f>IF(AND(DE28="G", ISBLANK(BW28), ISBLANK(BX28)),VLOOKUP(MIN(BT28:BU28),TblJoistSize!$M$3:$N$10,2),IF(OR(DE28="B", DE28="G"),MIN(BW28:BX28),""))</f>
        <v/>
      </c>
      <c r="FB28" s="829" t="str">
        <f>IF(AND(DE28="G", ISBLANK(BW28), ISBLANK(BX28)),VLOOKUP(MAX(BT28:BU28),TblJoistSize!$M$3:$N$10,2),IF(OR(DE28="B", DE28="G"),MAX(BW28:BX28),""))</f>
        <v/>
      </c>
      <c r="FC28" s="829" t="str">
        <f t="shared" si="57"/>
        <v/>
      </c>
      <c r="FD28" s="822">
        <f t="shared" si="58"/>
        <v>0</v>
      </c>
      <c r="FE28" s="822">
        <f t="shared" si="59"/>
        <v>0</v>
      </c>
      <c r="FF28" s="821">
        <f t="shared" si="60"/>
        <v>0</v>
      </c>
      <c r="FG28" s="821" t="str">
        <f t="shared" si="61"/>
        <v/>
      </c>
      <c r="FH28" s="822" t="str">
        <f t="shared" si="62"/>
        <v/>
      </c>
      <c r="FI28" s="822">
        <f t="shared" si="63"/>
        <v>0</v>
      </c>
      <c r="FJ28" s="822">
        <f t="shared" si="64"/>
        <v>0</v>
      </c>
      <c r="FK28" s="821">
        <f t="shared" si="65"/>
        <v>0</v>
      </c>
      <c r="FL28" s="821" t="str">
        <f t="shared" si="66"/>
        <v/>
      </c>
      <c r="FM28" s="822" t="str">
        <f t="shared" si="67"/>
        <v/>
      </c>
      <c r="FN28" s="822" t="e">
        <f t="shared" si="68"/>
        <v>#VALUE!</v>
      </c>
      <c r="FO28" s="940" t="e">
        <f t="shared" si="69"/>
        <v>#VALUE!</v>
      </c>
      <c r="FP28" s="940" t="e">
        <f t="shared" si="70"/>
        <v>#VALUE!</v>
      </c>
      <c r="FQ28" s="830" t="e">
        <f t="shared" si="71"/>
        <v>#VALUE!</v>
      </c>
      <c r="FR28" s="831" t="e">
        <f t="shared" si="72"/>
        <v>#VALUE!</v>
      </c>
      <c r="FS28" s="832" t="str">
        <f t="shared" si="73"/>
        <v/>
      </c>
      <c r="FT28" s="833" t="str">
        <f t="shared" si="74"/>
        <v/>
      </c>
      <c r="FU28" s="870">
        <f t="shared" si="75"/>
        <v>0</v>
      </c>
      <c r="FV28" s="871">
        <f t="shared" si="76"/>
        <v>0</v>
      </c>
      <c r="GA28" s="1791">
        <v>40</v>
      </c>
      <c r="GB28" s="1792">
        <v>0.75</v>
      </c>
      <c r="GC28" s="1793">
        <v>-0.25</v>
      </c>
      <c r="GD28" s="1794">
        <v>-0.5</v>
      </c>
      <c r="GE28" s="1795">
        <f t="shared" si="77"/>
        <v>0</v>
      </c>
      <c r="GF28" s="600" t="str">
        <f t="shared" si="78"/>
        <v>J6</v>
      </c>
      <c r="GG28" s="1130">
        <v>0</v>
      </c>
      <c r="GH28" s="1131">
        <v>0</v>
      </c>
      <c r="GI28" s="1130"/>
      <c r="GJ28" s="1131"/>
      <c r="GK28" s="1636">
        <f t="shared" si="79"/>
        <v>480</v>
      </c>
      <c r="GL28" s="1636">
        <f t="shared" si="80"/>
        <v>480</v>
      </c>
      <c r="GM28" s="1637">
        <f>IF(ABS(GK28-GL28)&gt;='Job Info.'!$L$22,ABS(GK28-GL28),0)</f>
        <v>0</v>
      </c>
      <c r="GZ28" s="415"/>
      <c r="HA28" s="1391" t="s">
        <v>1436</v>
      </c>
      <c r="HB28" s="1392">
        <v>11</v>
      </c>
      <c r="HC28" s="1392" t="s">
        <v>1592</v>
      </c>
      <c r="HD28" s="1393">
        <v>40</v>
      </c>
      <c r="HE28" s="1394">
        <v>0</v>
      </c>
      <c r="HF28" s="1392" t="s">
        <v>116</v>
      </c>
      <c r="HG28" s="1392" t="s">
        <v>116</v>
      </c>
      <c r="HH28" s="1392" t="s">
        <v>116</v>
      </c>
      <c r="HI28" s="1395" t="s">
        <v>116</v>
      </c>
      <c r="HJ28" s="1392" t="s">
        <v>116</v>
      </c>
      <c r="HK28" s="1392" t="s">
        <v>116</v>
      </c>
      <c r="HL28" s="1392">
        <v>5</v>
      </c>
      <c r="HM28" s="1392">
        <v>5</v>
      </c>
      <c r="HN28" s="1392" t="s">
        <v>116</v>
      </c>
      <c r="HO28" s="1392" t="s">
        <v>116</v>
      </c>
      <c r="HP28" s="1392" t="s">
        <v>116</v>
      </c>
      <c r="HQ28" s="1395" t="s">
        <v>116</v>
      </c>
      <c r="HR28" s="1392" t="s">
        <v>116</v>
      </c>
      <c r="HS28" s="1392" t="s">
        <v>116</v>
      </c>
      <c r="HT28" s="1392">
        <v>0</v>
      </c>
      <c r="HU28" s="1392">
        <v>2.25</v>
      </c>
      <c r="HV28" s="1392">
        <v>0</v>
      </c>
      <c r="HW28" s="1394">
        <v>2</v>
      </c>
      <c r="HX28" s="1394">
        <v>4</v>
      </c>
      <c r="HY28" s="1394" t="s">
        <v>116</v>
      </c>
      <c r="HZ28" s="1394" t="s">
        <v>116</v>
      </c>
      <c r="IA28" s="1394" t="s">
        <v>1651</v>
      </c>
      <c r="IB28" s="1394"/>
      <c r="IC28" s="1394"/>
      <c r="ID28" s="1394"/>
      <c r="IE28" s="1394"/>
      <c r="IF28" s="1396"/>
    </row>
    <row r="29" spans="1:240" ht="12.6" customHeight="1" x14ac:dyDescent="0.25">
      <c r="A29" s="1448" t="s">
        <v>1437</v>
      </c>
      <c r="B29" s="1681">
        <v>14</v>
      </c>
      <c r="C29" s="1449" t="s">
        <v>1592</v>
      </c>
      <c r="D29" s="1705">
        <v>40</v>
      </c>
      <c r="E29" s="1778">
        <v>0</v>
      </c>
      <c r="F29" s="1708" t="str">
        <f t="shared" si="86"/>
        <v/>
      </c>
      <c r="G29" s="1709" t="str">
        <f t="shared" si="87"/>
        <v/>
      </c>
      <c r="H29" s="1779" t="str">
        <f t="shared" si="88"/>
        <v/>
      </c>
      <c r="I29" s="1705" t="str">
        <f t="shared" si="89"/>
        <v/>
      </c>
      <c r="J29" s="1709" t="str">
        <f t="shared" si="90"/>
        <v/>
      </c>
      <c r="K29" s="1780" t="str">
        <f t="shared" si="91"/>
        <v/>
      </c>
      <c r="L29" s="1712">
        <v>5</v>
      </c>
      <c r="M29" s="1713">
        <v>5</v>
      </c>
      <c r="N29" s="1708" t="str">
        <f t="shared" si="92"/>
        <v/>
      </c>
      <c r="O29" s="1709" t="str">
        <f t="shared" si="93"/>
        <v/>
      </c>
      <c r="P29" s="1710" t="str">
        <f t="shared" si="94"/>
        <v/>
      </c>
      <c r="Q29" s="1705" t="str">
        <f t="shared" si="95"/>
        <v/>
      </c>
      <c r="R29" s="1709" t="str">
        <f t="shared" si="96"/>
        <v/>
      </c>
      <c r="S29" s="1753" t="str">
        <f t="shared" si="97"/>
        <v/>
      </c>
      <c r="T29" s="1708">
        <v>0</v>
      </c>
      <c r="U29" s="1709">
        <v>2.25</v>
      </c>
      <c r="V29" s="1705">
        <v>0</v>
      </c>
      <c r="W29" s="1709">
        <v>2</v>
      </c>
      <c r="X29" s="1750">
        <v>4</v>
      </c>
      <c r="Y29" s="1781" t="str">
        <f t="shared" si="98"/>
        <v/>
      </c>
      <c r="Z29" s="1782" t="str">
        <f t="shared" si="99"/>
        <v/>
      </c>
      <c r="AA29" s="1783" t="s">
        <v>1711</v>
      </c>
      <c r="AB29" s="1413"/>
      <c r="AC29" s="964" t="b">
        <v>0</v>
      </c>
      <c r="AD29" s="441">
        <f t="shared" si="1"/>
        <v>0</v>
      </c>
      <c r="AE29" s="442">
        <f t="shared" si="2"/>
        <v>14</v>
      </c>
      <c r="AF29" s="442">
        <f t="shared" si="3"/>
        <v>0</v>
      </c>
      <c r="AG29" s="442">
        <f t="shared" si="4"/>
        <v>0</v>
      </c>
      <c r="AH29" s="443">
        <f t="shared" si="5"/>
        <v>0</v>
      </c>
      <c r="AI29" s="444" t="b">
        <v>0</v>
      </c>
      <c r="AJ29" s="238">
        <f t="shared" si="108"/>
        <v>32</v>
      </c>
      <c r="AK29" s="238" t="str">
        <f t="shared" si="6"/>
        <v>LH</v>
      </c>
      <c r="AL29" s="1290" t="str">
        <f t="shared" si="7"/>
        <v/>
      </c>
      <c r="AM29" s="238">
        <f t="shared" si="8"/>
        <v>305</v>
      </c>
      <c r="AN29" s="238">
        <f t="shared" si="9"/>
        <v>180</v>
      </c>
      <c r="AO29" s="238" t="str">
        <f t="shared" si="10"/>
        <v/>
      </c>
      <c r="AP29" s="830" t="b">
        <f>IF(ISERROR(AJ29),FALSE,IF(OR(AJ29=0,ISERROR(AL29),ISERROR(AM29),ISERROR(AN29),ISERROR(AO29)),FALSE,IF(AL29&lt;&gt;"",IF(ISERROR(VLOOKUP(SUBSTITUTE(SUBSTITUTE(C29,"R",""),"A",""),TblJoistSize!$A:$A,1,FALSE)),FALSE,TRUE),TRUE)))</f>
        <v>1</v>
      </c>
      <c r="AQ29" s="1038">
        <f t="shared" si="11"/>
        <v>6</v>
      </c>
      <c r="AR29" s="945" t="b">
        <f t="shared" si="83"/>
        <v>1</v>
      </c>
      <c r="AS29" s="1038">
        <f t="shared" si="12"/>
        <v>6</v>
      </c>
      <c r="AT29" s="945" t="b">
        <f t="shared" si="84"/>
        <v>1</v>
      </c>
      <c r="AU29" s="1291" t="str">
        <f t="shared" si="13"/>
        <v>LH</v>
      </c>
      <c r="AV29" s="830" t="str">
        <f t="shared" si="14"/>
        <v/>
      </c>
      <c r="AW29" s="830" t="str">
        <f t="shared" si="81"/>
        <v>LH</v>
      </c>
      <c r="AX29" s="830" t="str">
        <f t="shared" si="85"/>
        <v>J7</v>
      </c>
      <c r="AY29" s="464" t="b">
        <f t="shared" si="15"/>
        <v>0</v>
      </c>
      <c r="AZ29" s="856" t="b">
        <f t="shared" si="82"/>
        <v>0</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16"/>
        <v/>
      </c>
      <c r="BR29" s="1563"/>
      <c r="BS29" s="672"/>
      <c r="BT29" s="982"/>
      <c r="BU29" s="983"/>
      <c r="BV29" s="1625"/>
      <c r="BW29" s="982"/>
      <c r="BX29" s="983"/>
      <c r="BY29" s="1569"/>
      <c r="BZ29" s="1570"/>
      <c r="CA29" s="1617" t="str">
        <f>IF(ISERROR(DE29),"",IF(DE29="","",IF(VLOOKUP(BS29,SectInfo!$B:$N,10,FALSE)="","","X")))</f>
        <v/>
      </c>
      <c r="CB29" s="1561"/>
      <c r="CC29" s="1562" t="str">
        <f t="shared" si="17"/>
        <v/>
      </c>
      <c r="CD29" s="1563"/>
      <c r="CE29" s="1574"/>
      <c r="CF29" s="736"/>
      <c r="CG29" s="737"/>
      <c r="CH29" s="643" t="str">
        <f t="shared" si="18"/>
        <v/>
      </c>
      <c r="CI29" s="644" t="str">
        <f t="shared" si="19"/>
        <v/>
      </c>
      <c r="CJ29" s="645" t="str">
        <f t="shared" si="20"/>
        <v/>
      </c>
      <c r="CK29" s="852" t="str">
        <f t="shared" si="21"/>
        <v/>
      </c>
      <c r="CL29" s="847" t="str">
        <f t="shared" si="22"/>
        <v/>
      </c>
      <c r="CM29" s="848" t="str">
        <f t="shared" si="23"/>
        <v/>
      </c>
      <c r="CN29" s="611" t="str">
        <f t="shared" si="24"/>
        <v/>
      </c>
      <c r="CO29" s="612" t="str">
        <f t="shared" si="25"/>
        <v/>
      </c>
      <c r="CP29" s="615" t="str">
        <f t="shared" si="26"/>
        <v/>
      </c>
      <c r="CQ29" s="616" t="str">
        <f t="shared" si="27"/>
        <v/>
      </c>
      <c r="CR29" s="750">
        <f t="shared" si="28"/>
        <v>5</v>
      </c>
      <c r="CS29" s="751">
        <f t="shared" si="29"/>
        <v>5</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0"/>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1"/>
        <v>0</v>
      </c>
      <c r="DO29" s="818">
        <f t="shared" si="32"/>
        <v>0</v>
      </c>
      <c r="DP29" s="822" t="str">
        <f t="shared" si="33"/>
        <v/>
      </c>
      <c r="DQ29" s="822" t="str">
        <f t="shared" si="34"/>
        <v/>
      </c>
      <c r="DR29" s="822" t="str">
        <f t="shared" si="35"/>
        <v/>
      </c>
      <c r="DS29" s="821">
        <f t="shared" si="36"/>
        <v>0</v>
      </c>
      <c r="DT29" s="821">
        <f t="shared" si="37"/>
        <v>0</v>
      </c>
      <c r="DU29" s="821" t="str">
        <f t="shared" si="38"/>
        <v/>
      </c>
      <c r="DV29" s="822" t="str">
        <f t="shared" si="39"/>
        <v/>
      </c>
      <c r="DW29" s="856" t="str">
        <f t="shared" si="40"/>
        <v/>
      </c>
      <c r="DX29" s="1006">
        <f t="shared" si="100"/>
        <v>0</v>
      </c>
      <c r="DY29" s="822">
        <f t="shared" si="41"/>
        <v>0</v>
      </c>
      <c r="DZ29" s="821">
        <f t="shared" si="42"/>
        <v>0</v>
      </c>
      <c r="EA29" s="821" t="str">
        <f t="shared" si="43"/>
        <v/>
      </c>
      <c r="EB29" s="822" t="str">
        <f t="shared" si="101"/>
        <v/>
      </c>
      <c r="EC29" s="856" t="str">
        <f t="shared" si="44"/>
        <v/>
      </c>
      <c r="ED29" s="1006">
        <f t="shared" si="102"/>
        <v>0</v>
      </c>
      <c r="EE29" s="1293" t="str">
        <f t="shared" si="45"/>
        <v/>
      </c>
      <c r="EF29" s="822" t="str">
        <f t="shared" si="103"/>
        <v/>
      </c>
      <c r="EG29" s="822" t="str">
        <f t="shared" si="104"/>
        <v/>
      </c>
      <c r="EH29" s="856" t="str">
        <f t="shared" si="46"/>
        <v>ERR</v>
      </c>
      <c r="EI29" s="856" t="str">
        <f t="shared" si="47"/>
        <v>ERR</v>
      </c>
      <c r="EJ29" s="822" t="str">
        <f t="shared" si="48"/>
        <v/>
      </c>
      <c r="EK29" s="822" t="str">
        <f t="shared" si="48"/>
        <v/>
      </c>
      <c r="EL29" s="1293" t="str">
        <f t="shared" si="49"/>
        <v/>
      </c>
      <c r="EM29" s="822" t="str">
        <f t="shared" si="105"/>
        <v/>
      </c>
      <c r="EN29" s="822" t="str">
        <f t="shared" si="106"/>
        <v/>
      </c>
      <c r="EO29" s="856" t="str">
        <f t="shared" si="50"/>
        <v>ERR</v>
      </c>
      <c r="EP29" s="856" t="str">
        <f t="shared" si="51"/>
        <v>ERR</v>
      </c>
      <c r="EQ29" s="822" t="str">
        <f t="shared" si="52"/>
        <v/>
      </c>
      <c r="ER29" s="822" t="str">
        <f t="shared" si="52"/>
        <v/>
      </c>
      <c r="ES29" s="822" t="str">
        <f t="shared" si="53"/>
        <v/>
      </c>
      <c r="ET29" s="822" t="str">
        <f t="shared" si="54"/>
        <v/>
      </c>
      <c r="EU29" s="829">
        <f t="shared" si="55"/>
        <v>4</v>
      </c>
      <c r="EV29" s="824" t="str">
        <f t="shared" si="10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56"/>
        <v/>
      </c>
      <c r="FA29" s="829" t="str">
        <f>IF(AND(DE29="G", ISBLANK(BW29), ISBLANK(BX29)),VLOOKUP(MIN(BT29:BU29),TblJoistSize!$M$3:$N$10,2),IF(OR(DE29="B", DE29="G"),MIN(BW29:BX29),""))</f>
        <v/>
      </c>
      <c r="FB29" s="829" t="str">
        <f>IF(AND(DE29="G", ISBLANK(BW29), ISBLANK(BX29)),VLOOKUP(MAX(BT29:BU29),TblJoistSize!$M$3:$N$10,2),IF(OR(DE29="B", DE29="G"),MAX(BW29:BX29),""))</f>
        <v/>
      </c>
      <c r="FC29" s="829" t="str">
        <f t="shared" si="57"/>
        <v/>
      </c>
      <c r="FD29" s="822">
        <f t="shared" si="58"/>
        <v>0</v>
      </c>
      <c r="FE29" s="822">
        <f t="shared" si="59"/>
        <v>0</v>
      </c>
      <c r="FF29" s="821">
        <f t="shared" si="60"/>
        <v>0</v>
      </c>
      <c r="FG29" s="821" t="str">
        <f t="shared" si="61"/>
        <v/>
      </c>
      <c r="FH29" s="822" t="str">
        <f t="shared" si="62"/>
        <v/>
      </c>
      <c r="FI29" s="822">
        <f t="shared" si="63"/>
        <v>0</v>
      </c>
      <c r="FJ29" s="822">
        <f t="shared" si="64"/>
        <v>0</v>
      </c>
      <c r="FK29" s="821">
        <f t="shared" si="65"/>
        <v>0</v>
      </c>
      <c r="FL29" s="821" t="str">
        <f t="shared" si="66"/>
        <v/>
      </c>
      <c r="FM29" s="822" t="str">
        <f t="shared" si="67"/>
        <v/>
      </c>
      <c r="FN29" s="822" t="e">
        <f t="shared" si="68"/>
        <v>#VALUE!</v>
      </c>
      <c r="FO29" s="940" t="e">
        <f t="shared" si="69"/>
        <v>#VALUE!</v>
      </c>
      <c r="FP29" s="940" t="e">
        <f t="shared" si="70"/>
        <v>#VALUE!</v>
      </c>
      <c r="FQ29" s="830" t="e">
        <f t="shared" si="71"/>
        <v>#VALUE!</v>
      </c>
      <c r="FR29" s="831" t="e">
        <f t="shared" si="72"/>
        <v>#VALUE!</v>
      </c>
      <c r="FS29" s="832" t="str">
        <f t="shared" si="73"/>
        <v/>
      </c>
      <c r="FT29" s="833" t="str">
        <f t="shared" si="74"/>
        <v/>
      </c>
      <c r="FU29" s="870">
        <f t="shared" si="75"/>
        <v>0</v>
      </c>
      <c r="FV29" s="871">
        <f t="shared" si="76"/>
        <v>0</v>
      </c>
      <c r="GA29" s="1791">
        <v>40</v>
      </c>
      <c r="GB29" s="1792">
        <v>0.75</v>
      </c>
      <c r="GC29" s="1793">
        <v>-0.25</v>
      </c>
      <c r="GD29" s="1794">
        <v>-0.5</v>
      </c>
      <c r="GE29" s="1795">
        <f t="shared" si="77"/>
        <v>0</v>
      </c>
      <c r="GF29" s="600" t="str">
        <f t="shared" si="78"/>
        <v>J7</v>
      </c>
      <c r="GG29" s="1130">
        <v>0</v>
      </c>
      <c r="GH29" s="1131">
        <v>0</v>
      </c>
      <c r="GI29" s="1130"/>
      <c r="GJ29" s="1131"/>
      <c r="GK29" s="1636">
        <f t="shared" si="79"/>
        <v>480</v>
      </c>
      <c r="GL29" s="1636">
        <f t="shared" si="80"/>
        <v>480</v>
      </c>
      <c r="GM29" s="1637">
        <f>IF(ABS(GK29-GL29)&gt;='Job Info.'!$L$22,ABS(GK29-GL29),0)</f>
        <v>0</v>
      </c>
      <c r="GZ29" s="415"/>
      <c r="HA29" s="1391" t="s">
        <v>1437</v>
      </c>
      <c r="HB29" s="1392">
        <v>14</v>
      </c>
      <c r="HC29" s="1392" t="s">
        <v>1592</v>
      </c>
      <c r="HD29" s="1393">
        <v>40</v>
      </c>
      <c r="HE29" s="1394">
        <v>0</v>
      </c>
      <c r="HF29" s="1392" t="s">
        <v>116</v>
      </c>
      <c r="HG29" s="1392" t="s">
        <v>116</v>
      </c>
      <c r="HH29" s="1392" t="s">
        <v>116</v>
      </c>
      <c r="HI29" s="1395" t="s">
        <v>116</v>
      </c>
      <c r="HJ29" s="1392" t="s">
        <v>116</v>
      </c>
      <c r="HK29" s="1392" t="s">
        <v>116</v>
      </c>
      <c r="HL29" s="1392">
        <v>5</v>
      </c>
      <c r="HM29" s="1392">
        <v>5</v>
      </c>
      <c r="HN29" s="1392" t="s">
        <v>116</v>
      </c>
      <c r="HO29" s="1392" t="s">
        <v>116</v>
      </c>
      <c r="HP29" s="1392" t="s">
        <v>116</v>
      </c>
      <c r="HQ29" s="1395" t="s">
        <v>116</v>
      </c>
      <c r="HR29" s="1392" t="s">
        <v>116</v>
      </c>
      <c r="HS29" s="1392" t="s">
        <v>116</v>
      </c>
      <c r="HT29" s="1392">
        <v>0</v>
      </c>
      <c r="HU29" s="1392">
        <v>2.25</v>
      </c>
      <c r="HV29" s="1392">
        <v>0</v>
      </c>
      <c r="HW29" s="1394">
        <v>2</v>
      </c>
      <c r="HX29" s="1394">
        <v>4</v>
      </c>
      <c r="HY29" s="1394" t="s">
        <v>116</v>
      </c>
      <c r="HZ29" s="1394" t="s">
        <v>116</v>
      </c>
      <c r="IA29" s="1394" t="s">
        <v>1652</v>
      </c>
      <c r="IB29" s="1394"/>
      <c r="IC29" s="1394"/>
      <c r="ID29" s="1394"/>
      <c r="IE29" s="1394"/>
      <c r="IF29" s="1396"/>
    </row>
    <row r="30" spans="1:240" ht="12.6" customHeight="1" x14ac:dyDescent="0.25">
      <c r="A30" s="1448" t="s">
        <v>1438</v>
      </c>
      <c r="B30" s="1681">
        <v>2</v>
      </c>
      <c r="C30" s="1449" t="s">
        <v>1592</v>
      </c>
      <c r="D30" s="1705">
        <v>39</v>
      </c>
      <c r="E30" s="1778">
        <v>2.25</v>
      </c>
      <c r="F30" s="1708" t="str">
        <f t="shared" si="86"/>
        <v/>
      </c>
      <c r="G30" s="1709" t="str">
        <f t="shared" si="87"/>
        <v/>
      </c>
      <c r="H30" s="1779" t="str">
        <f t="shared" si="88"/>
        <v/>
      </c>
      <c r="I30" s="1705" t="str">
        <f t="shared" si="89"/>
        <v/>
      </c>
      <c r="J30" s="1709" t="str">
        <f t="shared" si="90"/>
        <v/>
      </c>
      <c r="K30" s="1780" t="str">
        <f t="shared" si="91"/>
        <v/>
      </c>
      <c r="L30" s="1712">
        <v>5</v>
      </c>
      <c r="M30" s="1713">
        <v>5</v>
      </c>
      <c r="N30" s="1708">
        <v>0</v>
      </c>
      <c r="O30" s="1709">
        <v>6.75</v>
      </c>
      <c r="P30" s="1710">
        <v>2</v>
      </c>
      <c r="Q30" s="1705" t="str">
        <f t="shared" si="95"/>
        <v/>
      </c>
      <c r="R30" s="1709" t="str">
        <f t="shared" si="96"/>
        <v/>
      </c>
      <c r="S30" s="1753" t="str">
        <f t="shared" si="97"/>
        <v/>
      </c>
      <c r="T30" s="1708">
        <v>0</v>
      </c>
      <c r="U30" s="1709">
        <v>2.25</v>
      </c>
      <c r="V30" s="1705">
        <v>0</v>
      </c>
      <c r="W30" s="1709">
        <v>2</v>
      </c>
      <c r="X30" s="1750">
        <v>4</v>
      </c>
      <c r="Y30" s="1781" t="str">
        <f t="shared" si="98"/>
        <v/>
      </c>
      <c r="Z30" s="1782" t="str">
        <f t="shared" si="99"/>
        <v/>
      </c>
      <c r="AA30" s="1783" t="s">
        <v>1712</v>
      </c>
      <c r="AB30" s="1413"/>
      <c r="AC30" s="964" t="b">
        <v>0</v>
      </c>
      <c r="AD30" s="441">
        <f t="shared" si="1"/>
        <v>0</v>
      </c>
      <c r="AE30" s="442">
        <f t="shared" si="2"/>
        <v>2</v>
      </c>
      <c r="AF30" s="442">
        <f t="shared" si="3"/>
        <v>0</v>
      </c>
      <c r="AG30" s="442">
        <f t="shared" si="4"/>
        <v>0</v>
      </c>
      <c r="AH30" s="443">
        <f t="shared" si="5"/>
        <v>0</v>
      </c>
      <c r="AI30" s="444" t="b">
        <v>0</v>
      </c>
      <c r="AJ30" s="238">
        <f t="shared" si="108"/>
        <v>32</v>
      </c>
      <c r="AK30" s="238" t="str">
        <f t="shared" si="6"/>
        <v>LH</v>
      </c>
      <c r="AL30" s="1290" t="str">
        <f t="shared" si="7"/>
        <v/>
      </c>
      <c r="AM30" s="238">
        <f t="shared" si="8"/>
        <v>305</v>
      </c>
      <c r="AN30" s="238">
        <f t="shared" si="9"/>
        <v>180</v>
      </c>
      <c r="AO30" s="238" t="str">
        <f t="shared" si="10"/>
        <v/>
      </c>
      <c r="AP30" s="830" t="b">
        <f>IF(ISERROR(AJ30),FALSE,IF(OR(AJ30=0,ISERROR(AL30),ISERROR(AM30),ISERROR(AN30),ISERROR(AO30)),FALSE,IF(AL30&lt;&gt;"",IF(ISERROR(VLOOKUP(SUBSTITUTE(SUBSTITUTE(C30,"R",""),"A",""),TblJoistSize!$A:$A,1,FALSE)),FALSE,TRUE),TRUE)))</f>
        <v>1</v>
      </c>
      <c r="AQ30" s="1038">
        <f t="shared" si="11"/>
        <v>6</v>
      </c>
      <c r="AR30" s="945" t="b">
        <f t="shared" si="83"/>
        <v>1</v>
      </c>
      <c r="AS30" s="1038">
        <f t="shared" si="12"/>
        <v>6</v>
      </c>
      <c r="AT30" s="945" t="b">
        <f t="shared" si="84"/>
        <v>1</v>
      </c>
      <c r="AU30" s="1291" t="str">
        <f t="shared" si="13"/>
        <v>LH</v>
      </c>
      <c r="AV30" s="830" t="str">
        <f t="shared" si="14"/>
        <v/>
      </c>
      <c r="AW30" s="830" t="str">
        <f t="shared" si="81"/>
        <v>LH</v>
      </c>
      <c r="AX30" s="830" t="str">
        <f t="shared" si="85"/>
        <v>TJ8</v>
      </c>
      <c r="AY30" s="464" t="b">
        <f t="shared" si="15"/>
        <v>0</v>
      </c>
      <c r="AZ30" s="856" t="b">
        <f t="shared" si="82"/>
        <v>0</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16"/>
        <v/>
      </c>
      <c r="BR30" s="1563"/>
      <c r="BS30" s="672"/>
      <c r="BT30" s="982"/>
      <c r="BU30" s="983"/>
      <c r="BV30" s="1625"/>
      <c r="BW30" s="982"/>
      <c r="BX30" s="983"/>
      <c r="BY30" s="1569"/>
      <c r="BZ30" s="1570"/>
      <c r="CA30" s="1617" t="str">
        <f>IF(ISERROR(DE30),"",IF(DE30="","",IF(VLOOKUP(BS30,SectInfo!$B:$N,10,FALSE)="","","X")))</f>
        <v/>
      </c>
      <c r="CB30" s="1561"/>
      <c r="CC30" s="1562" t="str">
        <f t="shared" si="17"/>
        <v/>
      </c>
      <c r="CD30" s="1563"/>
      <c r="CE30" s="1574"/>
      <c r="CF30" s="736"/>
      <c r="CG30" s="737"/>
      <c r="CH30" s="643" t="str">
        <f t="shared" si="18"/>
        <v/>
      </c>
      <c r="CI30" s="644" t="str">
        <f t="shared" si="19"/>
        <v/>
      </c>
      <c r="CJ30" s="645" t="str">
        <f t="shared" si="20"/>
        <v/>
      </c>
      <c r="CK30" s="852" t="str">
        <f t="shared" si="21"/>
        <v/>
      </c>
      <c r="CL30" s="847" t="str">
        <f t="shared" si="22"/>
        <v/>
      </c>
      <c r="CM30" s="848" t="str">
        <f t="shared" si="23"/>
        <v/>
      </c>
      <c r="CN30" s="611" t="str">
        <f t="shared" si="24"/>
        <v/>
      </c>
      <c r="CO30" s="612" t="str">
        <f t="shared" si="25"/>
        <v/>
      </c>
      <c r="CP30" s="615" t="str">
        <f t="shared" si="26"/>
        <v/>
      </c>
      <c r="CQ30" s="616" t="str">
        <f t="shared" si="27"/>
        <v/>
      </c>
      <c r="CR30" s="750">
        <f t="shared" si="28"/>
        <v>5</v>
      </c>
      <c r="CS30" s="751">
        <f t="shared" si="29"/>
        <v>5</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0"/>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1"/>
        <v>0</v>
      </c>
      <c r="DO30" s="818">
        <f t="shared" si="32"/>
        <v>0</v>
      </c>
      <c r="DP30" s="822" t="str">
        <f t="shared" si="33"/>
        <v/>
      </c>
      <c r="DQ30" s="822" t="str">
        <f t="shared" si="34"/>
        <v/>
      </c>
      <c r="DR30" s="822" t="str">
        <f t="shared" si="35"/>
        <v/>
      </c>
      <c r="DS30" s="821">
        <f t="shared" si="36"/>
        <v>0</v>
      </c>
      <c r="DT30" s="821">
        <f t="shared" si="37"/>
        <v>0</v>
      </c>
      <c r="DU30" s="821" t="str">
        <f t="shared" si="38"/>
        <v/>
      </c>
      <c r="DV30" s="822" t="str">
        <f t="shared" si="39"/>
        <v/>
      </c>
      <c r="DW30" s="856" t="str">
        <f t="shared" si="40"/>
        <v/>
      </c>
      <c r="DX30" s="1006">
        <f t="shared" si="100"/>
        <v>0</v>
      </c>
      <c r="DY30" s="822">
        <f t="shared" si="41"/>
        <v>0</v>
      </c>
      <c r="DZ30" s="821">
        <f t="shared" si="42"/>
        <v>0</v>
      </c>
      <c r="EA30" s="821" t="str">
        <f t="shared" si="43"/>
        <v/>
      </c>
      <c r="EB30" s="822" t="str">
        <f t="shared" si="101"/>
        <v/>
      </c>
      <c r="EC30" s="856" t="str">
        <f t="shared" si="44"/>
        <v/>
      </c>
      <c r="ED30" s="1006">
        <f t="shared" si="102"/>
        <v>0</v>
      </c>
      <c r="EE30" s="1293" t="str">
        <f t="shared" si="45"/>
        <v/>
      </c>
      <c r="EF30" s="822" t="str">
        <f t="shared" si="103"/>
        <v/>
      </c>
      <c r="EG30" s="822" t="str">
        <f t="shared" si="104"/>
        <v/>
      </c>
      <c r="EH30" s="856" t="str">
        <f t="shared" si="46"/>
        <v>ERR</v>
      </c>
      <c r="EI30" s="856" t="str">
        <f t="shared" si="47"/>
        <v>ERR</v>
      </c>
      <c r="EJ30" s="822" t="str">
        <f t="shared" si="48"/>
        <v/>
      </c>
      <c r="EK30" s="822" t="str">
        <f t="shared" si="48"/>
        <v/>
      </c>
      <c r="EL30" s="1293" t="str">
        <f t="shared" si="49"/>
        <v/>
      </c>
      <c r="EM30" s="822" t="str">
        <f t="shared" si="105"/>
        <v/>
      </c>
      <c r="EN30" s="822" t="str">
        <f t="shared" si="106"/>
        <v/>
      </c>
      <c r="EO30" s="856" t="str">
        <f t="shared" si="50"/>
        <v>ERR</v>
      </c>
      <c r="EP30" s="856" t="str">
        <f t="shared" si="51"/>
        <v>ERR</v>
      </c>
      <c r="EQ30" s="822" t="str">
        <f t="shared" si="52"/>
        <v/>
      </c>
      <c r="ER30" s="822" t="str">
        <f t="shared" si="52"/>
        <v/>
      </c>
      <c r="ES30" s="822" t="str">
        <f t="shared" si="53"/>
        <v/>
      </c>
      <c r="ET30" s="822" t="str">
        <f t="shared" si="54"/>
        <v/>
      </c>
      <c r="EU30" s="829">
        <f t="shared" si="55"/>
        <v>4</v>
      </c>
      <c r="EV30" s="824" t="str">
        <f t="shared" si="10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56"/>
        <v/>
      </c>
      <c r="FA30" s="829" t="str">
        <f>IF(AND(DE30="G", ISBLANK(BW30), ISBLANK(BX30)),VLOOKUP(MIN(BT30:BU30),TblJoistSize!$M$3:$N$10,2),IF(OR(DE30="B", DE30="G"),MIN(BW30:BX30),""))</f>
        <v/>
      </c>
      <c r="FB30" s="829" t="str">
        <f>IF(AND(DE30="G", ISBLANK(BW30), ISBLANK(BX30)),VLOOKUP(MAX(BT30:BU30),TblJoistSize!$M$3:$N$10,2),IF(OR(DE30="B", DE30="G"),MAX(BW30:BX30),""))</f>
        <v/>
      </c>
      <c r="FC30" s="829" t="str">
        <f t="shared" si="57"/>
        <v/>
      </c>
      <c r="FD30" s="822">
        <f t="shared" si="58"/>
        <v>0</v>
      </c>
      <c r="FE30" s="822">
        <f t="shared" si="59"/>
        <v>0</v>
      </c>
      <c r="FF30" s="821">
        <f t="shared" si="60"/>
        <v>0</v>
      </c>
      <c r="FG30" s="821" t="str">
        <f t="shared" si="61"/>
        <v/>
      </c>
      <c r="FH30" s="822" t="str">
        <f t="shared" si="62"/>
        <v/>
      </c>
      <c r="FI30" s="822">
        <f t="shared" si="63"/>
        <v>0</v>
      </c>
      <c r="FJ30" s="822">
        <f t="shared" si="64"/>
        <v>0</v>
      </c>
      <c r="FK30" s="821">
        <f t="shared" si="65"/>
        <v>0</v>
      </c>
      <c r="FL30" s="821" t="str">
        <f t="shared" si="66"/>
        <v/>
      </c>
      <c r="FM30" s="822" t="str">
        <f t="shared" si="67"/>
        <v/>
      </c>
      <c r="FN30" s="822" t="e">
        <f t="shared" si="68"/>
        <v>#VALUE!</v>
      </c>
      <c r="FO30" s="940" t="e">
        <f t="shared" si="69"/>
        <v>#VALUE!</v>
      </c>
      <c r="FP30" s="940" t="e">
        <f t="shared" si="70"/>
        <v>#VALUE!</v>
      </c>
      <c r="FQ30" s="830" t="e">
        <f t="shared" si="71"/>
        <v>#VALUE!</v>
      </c>
      <c r="FR30" s="831" t="e">
        <f t="shared" si="72"/>
        <v>#VALUE!</v>
      </c>
      <c r="FS30" s="832" t="str">
        <f t="shared" si="73"/>
        <v/>
      </c>
      <c r="FT30" s="833" t="str">
        <f t="shared" si="74"/>
        <v/>
      </c>
      <c r="FU30" s="870">
        <f t="shared" si="75"/>
        <v>0</v>
      </c>
      <c r="FV30" s="871">
        <f t="shared" si="76"/>
        <v>0</v>
      </c>
      <c r="GA30" s="1791">
        <v>39</v>
      </c>
      <c r="GB30" s="1792">
        <v>3</v>
      </c>
      <c r="GC30" s="1793">
        <v>-0.25</v>
      </c>
      <c r="GD30" s="1794">
        <v>-0.5</v>
      </c>
      <c r="GE30" s="1795">
        <f t="shared" si="77"/>
        <v>0</v>
      </c>
      <c r="GF30" s="600" t="str">
        <f t="shared" si="78"/>
        <v>TJ8</v>
      </c>
      <c r="GG30" s="1130">
        <v>0</v>
      </c>
      <c r="GH30" s="1131">
        <v>0</v>
      </c>
      <c r="GI30" s="1130"/>
      <c r="GJ30" s="1131"/>
      <c r="GK30" s="1636">
        <f t="shared" si="79"/>
        <v>470.25</v>
      </c>
      <c r="GL30" s="1636">
        <f t="shared" si="80"/>
        <v>470.25</v>
      </c>
      <c r="GM30" s="1637">
        <f>IF(ABS(GK30-GL30)&gt;='Job Info.'!$L$22,ABS(GK30-GL30),0)</f>
        <v>0</v>
      </c>
      <c r="GZ30" s="415"/>
      <c r="HA30" s="1391" t="s">
        <v>1438</v>
      </c>
      <c r="HB30" s="1392">
        <v>2</v>
      </c>
      <c r="HC30" s="1392" t="s">
        <v>1592</v>
      </c>
      <c r="HD30" s="1393">
        <v>39</v>
      </c>
      <c r="HE30" s="1394">
        <v>2.25</v>
      </c>
      <c r="HF30" s="1392" t="s">
        <v>116</v>
      </c>
      <c r="HG30" s="1392" t="s">
        <v>116</v>
      </c>
      <c r="HH30" s="1392" t="s">
        <v>116</v>
      </c>
      <c r="HI30" s="1395" t="s">
        <v>116</v>
      </c>
      <c r="HJ30" s="1392" t="s">
        <v>116</v>
      </c>
      <c r="HK30" s="1392" t="s">
        <v>116</v>
      </c>
      <c r="HL30" s="1392">
        <v>5</v>
      </c>
      <c r="HM30" s="1392">
        <v>5</v>
      </c>
      <c r="HN30" s="1392">
        <v>0</v>
      </c>
      <c r="HO30" s="1392">
        <v>6.75</v>
      </c>
      <c r="HP30" s="1392">
        <v>2</v>
      </c>
      <c r="HQ30" s="1395" t="s">
        <v>116</v>
      </c>
      <c r="HR30" s="1392" t="s">
        <v>116</v>
      </c>
      <c r="HS30" s="1392" t="s">
        <v>116</v>
      </c>
      <c r="HT30" s="1392">
        <v>0</v>
      </c>
      <c r="HU30" s="1392">
        <v>2.25</v>
      </c>
      <c r="HV30" s="1392">
        <v>0</v>
      </c>
      <c r="HW30" s="1394">
        <v>2</v>
      </c>
      <c r="HX30" s="1394">
        <v>4</v>
      </c>
      <c r="HY30" s="1394" t="s">
        <v>116</v>
      </c>
      <c r="HZ30" s="1394" t="s">
        <v>116</v>
      </c>
      <c r="IA30" s="1394" t="s">
        <v>1652</v>
      </c>
      <c r="IB30" s="1394"/>
      <c r="IC30" s="1394"/>
      <c r="ID30" s="1394"/>
      <c r="IE30" s="1394"/>
      <c r="IF30" s="1396"/>
    </row>
    <row r="31" spans="1:240" ht="12.6" customHeight="1" x14ac:dyDescent="0.25">
      <c r="A31" s="1448" t="s">
        <v>1439</v>
      </c>
      <c r="B31" s="1681">
        <v>35</v>
      </c>
      <c r="C31" s="1449" t="s">
        <v>1592</v>
      </c>
      <c r="D31" s="1705">
        <v>39</v>
      </c>
      <c r="E31" s="1778">
        <v>2.25</v>
      </c>
      <c r="F31" s="1708" t="str">
        <f t="shared" si="86"/>
        <v/>
      </c>
      <c r="G31" s="1709" t="str">
        <f t="shared" si="87"/>
        <v/>
      </c>
      <c r="H31" s="1779" t="str">
        <f t="shared" si="88"/>
        <v/>
      </c>
      <c r="I31" s="1705" t="str">
        <f t="shared" si="89"/>
        <v/>
      </c>
      <c r="J31" s="1709" t="str">
        <f t="shared" si="90"/>
        <v/>
      </c>
      <c r="K31" s="1780" t="str">
        <f t="shared" si="91"/>
        <v/>
      </c>
      <c r="L31" s="1712">
        <v>5</v>
      </c>
      <c r="M31" s="1713">
        <v>5</v>
      </c>
      <c r="N31" s="1708" t="str">
        <f t="shared" si="92"/>
        <v/>
      </c>
      <c r="O31" s="1709" t="str">
        <f t="shared" si="93"/>
        <v/>
      </c>
      <c r="P31" s="1710" t="str">
        <f t="shared" si="94"/>
        <v/>
      </c>
      <c r="Q31" s="1705" t="str">
        <f t="shared" si="95"/>
        <v/>
      </c>
      <c r="R31" s="1709" t="str">
        <f t="shared" si="96"/>
        <v/>
      </c>
      <c r="S31" s="1753" t="str">
        <f t="shared" si="97"/>
        <v/>
      </c>
      <c r="T31" s="1708">
        <v>0</v>
      </c>
      <c r="U31" s="1709">
        <v>2.25</v>
      </c>
      <c r="V31" s="1705">
        <v>0</v>
      </c>
      <c r="W31" s="1709">
        <v>2</v>
      </c>
      <c r="X31" s="1750">
        <v>4</v>
      </c>
      <c r="Y31" s="1781" t="str">
        <f t="shared" si="98"/>
        <v/>
      </c>
      <c r="Z31" s="1782" t="str">
        <f t="shared" si="99"/>
        <v/>
      </c>
      <c r="AA31" s="1783" t="s">
        <v>1713</v>
      </c>
      <c r="AB31" s="1413"/>
      <c r="AC31" s="964" t="b">
        <v>0</v>
      </c>
      <c r="AD31" s="441">
        <f t="shared" si="1"/>
        <v>0</v>
      </c>
      <c r="AE31" s="442">
        <f t="shared" si="2"/>
        <v>35</v>
      </c>
      <c r="AF31" s="442">
        <f t="shared" si="3"/>
        <v>0</v>
      </c>
      <c r="AG31" s="442">
        <f t="shared" si="4"/>
        <v>0</v>
      </c>
      <c r="AH31" s="443">
        <f t="shared" si="5"/>
        <v>0</v>
      </c>
      <c r="AI31" s="444" t="b">
        <v>0</v>
      </c>
      <c r="AJ31" s="238">
        <f t="shared" si="108"/>
        <v>32</v>
      </c>
      <c r="AK31" s="238" t="str">
        <f t="shared" si="6"/>
        <v>LH</v>
      </c>
      <c r="AL31" s="1290" t="str">
        <f t="shared" si="7"/>
        <v/>
      </c>
      <c r="AM31" s="238">
        <f t="shared" si="8"/>
        <v>305</v>
      </c>
      <c r="AN31" s="238">
        <f t="shared" si="9"/>
        <v>180</v>
      </c>
      <c r="AO31" s="238" t="str">
        <f t="shared" si="10"/>
        <v/>
      </c>
      <c r="AP31" s="830" t="b">
        <f>IF(ISERROR(AJ31),FALSE,IF(OR(AJ31=0,ISERROR(AL31),ISERROR(AM31),ISERROR(AN31),ISERROR(AO31)),FALSE,IF(AL31&lt;&gt;"",IF(ISERROR(VLOOKUP(SUBSTITUTE(SUBSTITUTE(C31,"R",""),"A",""),TblJoistSize!$A:$A,1,FALSE)),FALSE,TRUE),TRUE)))</f>
        <v>1</v>
      </c>
      <c r="AQ31" s="1038">
        <f t="shared" si="11"/>
        <v>6</v>
      </c>
      <c r="AR31" s="945" t="b">
        <f t="shared" si="83"/>
        <v>1</v>
      </c>
      <c r="AS31" s="1038">
        <f t="shared" si="12"/>
        <v>6</v>
      </c>
      <c r="AT31" s="945" t="b">
        <f t="shared" si="84"/>
        <v>1</v>
      </c>
      <c r="AU31" s="1291" t="str">
        <f t="shared" si="13"/>
        <v>LH</v>
      </c>
      <c r="AV31" s="830" t="str">
        <f t="shared" si="14"/>
        <v/>
      </c>
      <c r="AW31" s="830" t="str">
        <f t="shared" si="81"/>
        <v>LH</v>
      </c>
      <c r="AX31" s="830" t="str">
        <f t="shared" si="85"/>
        <v>J9</v>
      </c>
      <c r="AY31" s="464" t="b">
        <f t="shared" si="15"/>
        <v>0</v>
      </c>
      <c r="AZ31" s="856" t="b">
        <f t="shared" si="82"/>
        <v>0</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16"/>
        <v/>
      </c>
      <c r="BR31" s="1563"/>
      <c r="BS31" s="672"/>
      <c r="BT31" s="982"/>
      <c r="BU31" s="983"/>
      <c r="BV31" s="1625"/>
      <c r="BW31" s="982"/>
      <c r="BX31" s="983"/>
      <c r="BY31" s="1569"/>
      <c r="BZ31" s="1570"/>
      <c r="CA31" s="1617" t="str">
        <f>IF(ISERROR(DE31),"",IF(DE31="","",IF(VLOOKUP(BS31,SectInfo!$B:$N,10,FALSE)="","","X")))</f>
        <v/>
      </c>
      <c r="CB31" s="1561"/>
      <c r="CC31" s="1562" t="str">
        <f t="shared" si="17"/>
        <v/>
      </c>
      <c r="CD31" s="1563"/>
      <c r="CE31" s="1574"/>
      <c r="CF31" s="736"/>
      <c r="CG31" s="737"/>
      <c r="CH31" s="643" t="str">
        <f t="shared" si="18"/>
        <v/>
      </c>
      <c r="CI31" s="644" t="str">
        <f t="shared" si="19"/>
        <v/>
      </c>
      <c r="CJ31" s="645" t="str">
        <f t="shared" si="20"/>
        <v/>
      </c>
      <c r="CK31" s="852" t="str">
        <f t="shared" si="21"/>
        <v/>
      </c>
      <c r="CL31" s="847" t="str">
        <f t="shared" si="22"/>
        <v/>
      </c>
      <c r="CM31" s="848" t="str">
        <f t="shared" si="23"/>
        <v/>
      </c>
      <c r="CN31" s="611" t="str">
        <f t="shared" si="24"/>
        <v/>
      </c>
      <c r="CO31" s="612" t="str">
        <f t="shared" si="25"/>
        <v/>
      </c>
      <c r="CP31" s="615" t="str">
        <f t="shared" si="26"/>
        <v/>
      </c>
      <c r="CQ31" s="616" t="str">
        <f t="shared" si="27"/>
        <v/>
      </c>
      <c r="CR31" s="750">
        <f t="shared" si="28"/>
        <v>5</v>
      </c>
      <c r="CS31" s="751">
        <f t="shared" si="29"/>
        <v>5</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0"/>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1"/>
        <v>0</v>
      </c>
      <c r="DO31" s="818">
        <f t="shared" si="32"/>
        <v>0</v>
      </c>
      <c r="DP31" s="822" t="str">
        <f t="shared" si="33"/>
        <v/>
      </c>
      <c r="DQ31" s="822" t="str">
        <f t="shared" si="34"/>
        <v/>
      </c>
      <c r="DR31" s="822" t="str">
        <f t="shared" si="35"/>
        <v/>
      </c>
      <c r="DS31" s="821">
        <f t="shared" si="36"/>
        <v>0</v>
      </c>
      <c r="DT31" s="821">
        <f t="shared" si="37"/>
        <v>0</v>
      </c>
      <c r="DU31" s="821" t="str">
        <f t="shared" si="38"/>
        <v/>
      </c>
      <c r="DV31" s="822" t="str">
        <f t="shared" si="39"/>
        <v/>
      </c>
      <c r="DW31" s="856" t="str">
        <f t="shared" si="40"/>
        <v/>
      </c>
      <c r="DX31" s="1006">
        <f t="shared" si="100"/>
        <v>0</v>
      </c>
      <c r="DY31" s="822">
        <f t="shared" si="41"/>
        <v>0</v>
      </c>
      <c r="DZ31" s="821">
        <f t="shared" si="42"/>
        <v>0</v>
      </c>
      <c r="EA31" s="821" t="str">
        <f t="shared" si="43"/>
        <v/>
      </c>
      <c r="EB31" s="822" t="str">
        <f t="shared" si="101"/>
        <v/>
      </c>
      <c r="EC31" s="856" t="str">
        <f t="shared" si="44"/>
        <v/>
      </c>
      <c r="ED31" s="1006">
        <f t="shared" si="102"/>
        <v>0</v>
      </c>
      <c r="EE31" s="1293" t="str">
        <f t="shared" si="45"/>
        <v/>
      </c>
      <c r="EF31" s="822" t="str">
        <f t="shared" si="103"/>
        <v/>
      </c>
      <c r="EG31" s="822" t="str">
        <f t="shared" si="104"/>
        <v/>
      </c>
      <c r="EH31" s="856" t="str">
        <f t="shared" si="46"/>
        <v>ERR</v>
      </c>
      <c r="EI31" s="856" t="str">
        <f t="shared" si="47"/>
        <v>ERR</v>
      </c>
      <c r="EJ31" s="822" t="str">
        <f t="shared" si="48"/>
        <v/>
      </c>
      <c r="EK31" s="822" t="str">
        <f t="shared" si="48"/>
        <v/>
      </c>
      <c r="EL31" s="1293" t="str">
        <f t="shared" si="49"/>
        <v/>
      </c>
      <c r="EM31" s="822" t="str">
        <f t="shared" si="105"/>
        <v/>
      </c>
      <c r="EN31" s="822" t="str">
        <f t="shared" si="106"/>
        <v/>
      </c>
      <c r="EO31" s="856" t="str">
        <f t="shared" si="50"/>
        <v>ERR</v>
      </c>
      <c r="EP31" s="856" t="str">
        <f t="shared" si="51"/>
        <v>ERR</v>
      </c>
      <c r="EQ31" s="822" t="str">
        <f t="shared" si="52"/>
        <v/>
      </c>
      <c r="ER31" s="822" t="str">
        <f t="shared" si="52"/>
        <v/>
      </c>
      <c r="ES31" s="822" t="str">
        <f t="shared" si="53"/>
        <v/>
      </c>
      <c r="ET31" s="822" t="str">
        <f t="shared" si="54"/>
        <v/>
      </c>
      <c r="EU31" s="829">
        <f t="shared" si="55"/>
        <v>4</v>
      </c>
      <c r="EV31" s="824" t="str">
        <f t="shared" si="10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56"/>
        <v/>
      </c>
      <c r="FA31" s="829" t="str">
        <f>IF(AND(DE31="G", ISBLANK(BW31), ISBLANK(BX31)),VLOOKUP(MIN(BT31:BU31),TblJoistSize!$M$3:$N$10,2),IF(OR(DE31="B", DE31="G"),MIN(BW31:BX31),""))</f>
        <v/>
      </c>
      <c r="FB31" s="829" t="str">
        <f>IF(AND(DE31="G", ISBLANK(BW31), ISBLANK(BX31)),VLOOKUP(MAX(BT31:BU31),TblJoistSize!$M$3:$N$10,2),IF(OR(DE31="B", DE31="G"),MAX(BW31:BX31),""))</f>
        <v/>
      </c>
      <c r="FC31" s="829" t="str">
        <f t="shared" si="57"/>
        <v/>
      </c>
      <c r="FD31" s="822">
        <f t="shared" si="58"/>
        <v>0</v>
      </c>
      <c r="FE31" s="822">
        <f t="shared" si="59"/>
        <v>0</v>
      </c>
      <c r="FF31" s="821">
        <f t="shared" si="60"/>
        <v>0</v>
      </c>
      <c r="FG31" s="821" t="str">
        <f t="shared" si="61"/>
        <v/>
      </c>
      <c r="FH31" s="822" t="str">
        <f t="shared" si="62"/>
        <v/>
      </c>
      <c r="FI31" s="822">
        <f t="shared" si="63"/>
        <v>0</v>
      </c>
      <c r="FJ31" s="822">
        <f t="shared" si="64"/>
        <v>0</v>
      </c>
      <c r="FK31" s="821">
        <f t="shared" si="65"/>
        <v>0</v>
      </c>
      <c r="FL31" s="821" t="str">
        <f t="shared" si="66"/>
        <v/>
      </c>
      <c r="FM31" s="822" t="str">
        <f t="shared" si="67"/>
        <v/>
      </c>
      <c r="FN31" s="822" t="e">
        <f t="shared" si="68"/>
        <v>#VALUE!</v>
      </c>
      <c r="FO31" s="940" t="e">
        <f t="shared" si="69"/>
        <v>#VALUE!</v>
      </c>
      <c r="FP31" s="940" t="e">
        <f t="shared" si="70"/>
        <v>#VALUE!</v>
      </c>
      <c r="FQ31" s="830" t="e">
        <f t="shared" si="71"/>
        <v>#VALUE!</v>
      </c>
      <c r="FR31" s="831" t="e">
        <f t="shared" si="72"/>
        <v>#VALUE!</v>
      </c>
      <c r="FS31" s="832" t="str">
        <f t="shared" si="73"/>
        <v/>
      </c>
      <c r="FT31" s="833" t="str">
        <f t="shared" si="74"/>
        <v/>
      </c>
      <c r="FU31" s="870">
        <f t="shared" si="75"/>
        <v>0</v>
      </c>
      <c r="FV31" s="871">
        <f t="shared" si="76"/>
        <v>0</v>
      </c>
      <c r="GA31" s="1791">
        <v>39</v>
      </c>
      <c r="GB31" s="1792">
        <v>3</v>
      </c>
      <c r="GC31" s="1793">
        <v>-0.25</v>
      </c>
      <c r="GD31" s="1794">
        <v>-0.5</v>
      </c>
      <c r="GE31" s="1795">
        <f t="shared" si="77"/>
        <v>0</v>
      </c>
      <c r="GF31" s="600" t="str">
        <f t="shared" si="78"/>
        <v>J9</v>
      </c>
      <c r="GG31" s="1130">
        <v>0</v>
      </c>
      <c r="GH31" s="1131">
        <v>0</v>
      </c>
      <c r="GI31" s="1130"/>
      <c r="GJ31" s="1131"/>
      <c r="GK31" s="1636">
        <f t="shared" si="79"/>
        <v>470.25</v>
      </c>
      <c r="GL31" s="1636">
        <f t="shared" si="80"/>
        <v>470.25</v>
      </c>
      <c r="GM31" s="1637">
        <f>IF(ABS(GK31-GL31)&gt;='Job Info.'!$L$22,ABS(GK31-GL31),0)</f>
        <v>0</v>
      </c>
      <c r="GZ31" s="415"/>
      <c r="HA31" s="1391" t="s">
        <v>1439</v>
      </c>
      <c r="HB31" s="1392">
        <v>35</v>
      </c>
      <c r="HC31" s="1392" t="s">
        <v>1592</v>
      </c>
      <c r="HD31" s="1393">
        <v>39</v>
      </c>
      <c r="HE31" s="1394">
        <v>2.25</v>
      </c>
      <c r="HF31" s="1392" t="s">
        <v>116</v>
      </c>
      <c r="HG31" s="1392" t="s">
        <v>116</v>
      </c>
      <c r="HH31" s="1392" t="s">
        <v>116</v>
      </c>
      <c r="HI31" s="1395" t="s">
        <v>116</v>
      </c>
      <c r="HJ31" s="1392" t="s">
        <v>116</v>
      </c>
      <c r="HK31" s="1392" t="s">
        <v>116</v>
      </c>
      <c r="HL31" s="1392">
        <v>5</v>
      </c>
      <c r="HM31" s="1392">
        <v>5</v>
      </c>
      <c r="HN31" s="1392" t="s">
        <v>116</v>
      </c>
      <c r="HO31" s="1392" t="s">
        <v>116</v>
      </c>
      <c r="HP31" s="1392" t="s">
        <v>116</v>
      </c>
      <c r="HQ31" s="1395" t="s">
        <v>116</v>
      </c>
      <c r="HR31" s="1392" t="s">
        <v>116</v>
      </c>
      <c r="HS31" s="1392" t="s">
        <v>116</v>
      </c>
      <c r="HT31" s="1392">
        <v>0</v>
      </c>
      <c r="HU31" s="1392">
        <v>2.25</v>
      </c>
      <c r="HV31" s="1392">
        <v>0</v>
      </c>
      <c r="HW31" s="1394">
        <v>2</v>
      </c>
      <c r="HX31" s="1394">
        <v>4</v>
      </c>
      <c r="HY31" s="1394" t="s">
        <v>116</v>
      </c>
      <c r="HZ31" s="1394" t="s">
        <v>116</v>
      </c>
      <c r="IA31" s="1394" t="s">
        <v>1653</v>
      </c>
      <c r="IB31" s="1394"/>
      <c r="IC31" s="1394"/>
      <c r="ID31" s="1394"/>
      <c r="IE31" s="1394"/>
      <c r="IF31" s="1396"/>
    </row>
    <row r="32" spans="1:240" ht="12.6" customHeight="1" x14ac:dyDescent="0.25">
      <c r="A32" s="1448" t="s">
        <v>1440</v>
      </c>
      <c r="B32" s="1681">
        <v>7</v>
      </c>
      <c r="C32" s="1449" t="s">
        <v>1592</v>
      </c>
      <c r="D32" s="1705">
        <v>39</v>
      </c>
      <c r="E32" s="1778">
        <v>2.25</v>
      </c>
      <c r="F32" s="1708" t="str">
        <f t="shared" si="86"/>
        <v/>
      </c>
      <c r="G32" s="1709" t="str">
        <f t="shared" si="87"/>
        <v/>
      </c>
      <c r="H32" s="1779" t="str">
        <f t="shared" si="88"/>
        <v/>
      </c>
      <c r="I32" s="1705" t="str">
        <f t="shared" si="89"/>
        <v/>
      </c>
      <c r="J32" s="1709" t="str">
        <f t="shared" si="90"/>
        <v/>
      </c>
      <c r="K32" s="1780" t="str">
        <f t="shared" si="91"/>
        <v/>
      </c>
      <c r="L32" s="1712">
        <v>5</v>
      </c>
      <c r="M32" s="1713">
        <v>5</v>
      </c>
      <c r="N32" s="1708" t="str">
        <f t="shared" si="92"/>
        <v/>
      </c>
      <c r="O32" s="1709" t="str">
        <f t="shared" si="93"/>
        <v/>
      </c>
      <c r="P32" s="1710" t="str">
        <f t="shared" si="94"/>
        <v/>
      </c>
      <c r="Q32" s="1705" t="str">
        <f t="shared" si="95"/>
        <v/>
      </c>
      <c r="R32" s="1709" t="str">
        <f t="shared" si="96"/>
        <v/>
      </c>
      <c r="S32" s="1753" t="str">
        <f t="shared" si="97"/>
        <v/>
      </c>
      <c r="T32" s="1708">
        <v>0</v>
      </c>
      <c r="U32" s="1709">
        <v>2.25</v>
      </c>
      <c r="V32" s="1705">
        <v>0</v>
      </c>
      <c r="W32" s="1709">
        <v>2</v>
      </c>
      <c r="X32" s="1750">
        <v>4</v>
      </c>
      <c r="Y32" s="1781" t="str">
        <f t="shared" si="98"/>
        <v/>
      </c>
      <c r="Z32" s="1782" t="str">
        <f t="shared" si="99"/>
        <v/>
      </c>
      <c r="AA32" s="1783" t="s">
        <v>1714</v>
      </c>
      <c r="AB32" s="1413"/>
      <c r="AC32" s="964" t="b">
        <v>0</v>
      </c>
      <c r="AD32" s="441">
        <f t="shared" si="1"/>
        <v>0</v>
      </c>
      <c r="AE32" s="442">
        <f t="shared" si="2"/>
        <v>7</v>
      </c>
      <c r="AF32" s="442">
        <f t="shared" si="3"/>
        <v>0</v>
      </c>
      <c r="AG32" s="442">
        <f t="shared" si="4"/>
        <v>0</v>
      </c>
      <c r="AH32" s="443">
        <f t="shared" si="5"/>
        <v>0</v>
      </c>
      <c r="AI32" s="444" t="b">
        <v>0</v>
      </c>
      <c r="AJ32" s="238">
        <f t="shared" si="108"/>
        <v>32</v>
      </c>
      <c r="AK32" s="238" t="str">
        <f t="shared" si="6"/>
        <v>LH</v>
      </c>
      <c r="AL32" s="1290" t="str">
        <f t="shared" si="7"/>
        <v/>
      </c>
      <c r="AM32" s="238">
        <f t="shared" si="8"/>
        <v>305</v>
      </c>
      <c r="AN32" s="238">
        <f t="shared" si="9"/>
        <v>180</v>
      </c>
      <c r="AO32" s="238" t="str">
        <f t="shared" si="10"/>
        <v/>
      </c>
      <c r="AP32" s="830" t="b">
        <f>IF(ISERROR(AJ32),FALSE,IF(OR(AJ32=0,ISERROR(AL32),ISERROR(AM32),ISERROR(AN32),ISERROR(AO32)),FALSE,IF(AL32&lt;&gt;"",IF(ISERROR(VLOOKUP(SUBSTITUTE(SUBSTITUTE(C32,"R",""),"A",""),TblJoistSize!$A:$A,1,FALSE)),FALSE,TRUE),TRUE)))</f>
        <v>1</v>
      </c>
      <c r="AQ32" s="1038">
        <f t="shared" si="11"/>
        <v>6</v>
      </c>
      <c r="AR32" s="945" t="b">
        <f t="shared" si="83"/>
        <v>1</v>
      </c>
      <c r="AS32" s="1038">
        <f t="shared" si="12"/>
        <v>6</v>
      </c>
      <c r="AT32" s="945" t="b">
        <f t="shared" si="84"/>
        <v>1</v>
      </c>
      <c r="AU32" s="1291" t="str">
        <f t="shared" si="13"/>
        <v>LH</v>
      </c>
      <c r="AV32" s="830" t="str">
        <f t="shared" si="14"/>
        <v/>
      </c>
      <c r="AW32" s="830" t="str">
        <f t="shared" si="81"/>
        <v>LH</v>
      </c>
      <c r="AX32" s="830" t="str">
        <f t="shared" si="85"/>
        <v>J10</v>
      </c>
      <c r="AY32" s="464" t="b">
        <f t="shared" si="15"/>
        <v>0</v>
      </c>
      <c r="AZ32" s="856" t="b">
        <f t="shared" si="82"/>
        <v>0</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16"/>
        <v/>
      </c>
      <c r="BR32" s="1563"/>
      <c r="BS32" s="672"/>
      <c r="BT32" s="982"/>
      <c r="BU32" s="983"/>
      <c r="BV32" s="1625"/>
      <c r="BW32" s="982"/>
      <c r="BX32" s="983"/>
      <c r="BY32" s="1569"/>
      <c r="BZ32" s="1570"/>
      <c r="CA32" s="1617" t="str">
        <f>IF(ISERROR(DE32),"",IF(DE32="","",IF(VLOOKUP(BS32,SectInfo!$B:$N,10,FALSE)="","","X")))</f>
        <v/>
      </c>
      <c r="CB32" s="1561"/>
      <c r="CC32" s="1562" t="str">
        <f t="shared" si="17"/>
        <v/>
      </c>
      <c r="CD32" s="1563"/>
      <c r="CE32" s="1574"/>
      <c r="CF32" s="736"/>
      <c r="CG32" s="737"/>
      <c r="CH32" s="643" t="str">
        <f t="shared" si="18"/>
        <v/>
      </c>
      <c r="CI32" s="644" t="str">
        <f t="shared" si="19"/>
        <v/>
      </c>
      <c r="CJ32" s="645" t="str">
        <f t="shared" si="20"/>
        <v/>
      </c>
      <c r="CK32" s="852" t="str">
        <f t="shared" si="21"/>
        <v/>
      </c>
      <c r="CL32" s="847" t="str">
        <f t="shared" si="22"/>
        <v/>
      </c>
      <c r="CM32" s="848" t="str">
        <f t="shared" si="23"/>
        <v/>
      </c>
      <c r="CN32" s="611" t="str">
        <f t="shared" si="24"/>
        <v/>
      </c>
      <c r="CO32" s="612" t="str">
        <f t="shared" si="25"/>
        <v/>
      </c>
      <c r="CP32" s="615" t="str">
        <f t="shared" si="26"/>
        <v/>
      </c>
      <c r="CQ32" s="616" t="str">
        <f t="shared" si="27"/>
        <v/>
      </c>
      <c r="CR32" s="750">
        <f t="shared" si="28"/>
        <v>5</v>
      </c>
      <c r="CS32" s="751">
        <f t="shared" si="29"/>
        <v>5</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0"/>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1"/>
        <v>0</v>
      </c>
      <c r="DO32" s="818">
        <f t="shared" si="32"/>
        <v>0</v>
      </c>
      <c r="DP32" s="822" t="str">
        <f t="shared" si="33"/>
        <v/>
      </c>
      <c r="DQ32" s="822" t="str">
        <f t="shared" si="34"/>
        <v/>
      </c>
      <c r="DR32" s="822" t="str">
        <f t="shared" si="35"/>
        <v/>
      </c>
      <c r="DS32" s="821">
        <f t="shared" si="36"/>
        <v>0</v>
      </c>
      <c r="DT32" s="821">
        <f t="shared" si="37"/>
        <v>0</v>
      </c>
      <c r="DU32" s="821" t="str">
        <f t="shared" si="38"/>
        <v/>
      </c>
      <c r="DV32" s="822" t="str">
        <f t="shared" si="39"/>
        <v/>
      </c>
      <c r="DW32" s="856" t="str">
        <f t="shared" si="40"/>
        <v/>
      </c>
      <c r="DX32" s="1006">
        <f t="shared" si="100"/>
        <v>0</v>
      </c>
      <c r="DY32" s="822">
        <f t="shared" si="41"/>
        <v>0</v>
      </c>
      <c r="DZ32" s="821">
        <f t="shared" si="42"/>
        <v>0</v>
      </c>
      <c r="EA32" s="821" t="str">
        <f t="shared" si="43"/>
        <v/>
      </c>
      <c r="EB32" s="822" t="str">
        <f t="shared" si="101"/>
        <v/>
      </c>
      <c r="EC32" s="856" t="str">
        <f t="shared" si="44"/>
        <v/>
      </c>
      <c r="ED32" s="1006">
        <f t="shared" si="102"/>
        <v>0</v>
      </c>
      <c r="EE32" s="1293" t="str">
        <f t="shared" si="45"/>
        <v/>
      </c>
      <c r="EF32" s="822" t="str">
        <f t="shared" si="103"/>
        <v/>
      </c>
      <c r="EG32" s="822" t="str">
        <f t="shared" si="104"/>
        <v/>
      </c>
      <c r="EH32" s="856" t="str">
        <f t="shared" si="46"/>
        <v>ERR</v>
      </c>
      <c r="EI32" s="856" t="str">
        <f t="shared" si="47"/>
        <v>ERR</v>
      </c>
      <c r="EJ32" s="822" t="str">
        <f t="shared" si="48"/>
        <v/>
      </c>
      <c r="EK32" s="822" t="str">
        <f t="shared" si="48"/>
        <v/>
      </c>
      <c r="EL32" s="1293" t="str">
        <f t="shared" si="49"/>
        <v/>
      </c>
      <c r="EM32" s="822" t="str">
        <f t="shared" si="105"/>
        <v/>
      </c>
      <c r="EN32" s="822" t="str">
        <f t="shared" si="106"/>
        <v/>
      </c>
      <c r="EO32" s="856" t="str">
        <f t="shared" si="50"/>
        <v>ERR</v>
      </c>
      <c r="EP32" s="856" t="str">
        <f t="shared" si="51"/>
        <v>ERR</v>
      </c>
      <c r="EQ32" s="822" t="str">
        <f t="shared" si="52"/>
        <v/>
      </c>
      <c r="ER32" s="822" t="str">
        <f t="shared" si="52"/>
        <v/>
      </c>
      <c r="ES32" s="822" t="str">
        <f t="shared" si="53"/>
        <v/>
      </c>
      <c r="ET32" s="822" t="str">
        <f t="shared" si="54"/>
        <v/>
      </c>
      <c r="EU32" s="829">
        <f t="shared" si="55"/>
        <v>4</v>
      </c>
      <c r="EV32" s="824" t="str">
        <f t="shared" si="10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56"/>
        <v/>
      </c>
      <c r="FA32" s="829" t="str">
        <f>IF(AND(DE32="G", ISBLANK(BW32), ISBLANK(BX32)),VLOOKUP(MIN(BT32:BU32),TblJoistSize!$M$3:$N$10,2),IF(OR(DE32="B", DE32="G"),MIN(BW32:BX32),""))</f>
        <v/>
      </c>
      <c r="FB32" s="829" t="str">
        <f>IF(AND(DE32="G", ISBLANK(BW32), ISBLANK(BX32)),VLOOKUP(MAX(BT32:BU32),TblJoistSize!$M$3:$N$10,2),IF(OR(DE32="B", DE32="G"),MAX(BW32:BX32),""))</f>
        <v/>
      </c>
      <c r="FC32" s="829" t="str">
        <f t="shared" si="57"/>
        <v/>
      </c>
      <c r="FD32" s="822">
        <f t="shared" si="58"/>
        <v>0</v>
      </c>
      <c r="FE32" s="822">
        <f t="shared" si="59"/>
        <v>0</v>
      </c>
      <c r="FF32" s="821">
        <f t="shared" si="60"/>
        <v>0</v>
      </c>
      <c r="FG32" s="821" t="str">
        <f t="shared" si="61"/>
        <v/>
      </c>
      <c r="FH32" s="822" t="str">
        <f t="shared" si="62"/>
        <v/>
      </c>
      <c r="FI32" s="822">
        <f t="shared" si="63"/>
        <v>0</v>
      </c>
      <c r="FJ32" s="822">
        <f t="shared" si="64"/>
        <v>0</v>
      </c>
      <c r="FK32" s="821">
        <f t="shared" si="65"/>
        <v>0</v>
      </c>
      <c r="FL32" s="821" t="str">
        <f t="shared" si="66"/>
        <v/>
      </c>
      <c r="FM32" s="822" t="str">
        <f t="shared" si="67"/>
        <v/>
      </c>
      <c r="FN32" s="822" t="e">
        <f t="shared" si="68"/>
        <v>#VALUE!</v>
      </c>
      <c r="FO32" s="940" t="e">
        <f t="shared" si="69"/>
        <v>#VALUE!</v>
      </c>
      <c r="FP32" s="940" t="e">
        <f t="shared" si="70"/>
        <v>#VALUE!</v>
      </c>
      <c r="FQ32" s="830" t="e">
        <f t="shared" si="71"/>
        <v>#VALUE!</v>
      </c>
      <c r="FR32" s="831" t="e">
        <f t="shared" si="72"/>
        <v>#VALUE!</v>
      </c>
      <c r="FS32" s="832" t="str">
        <f t="shared" si="73"/>
        <v/>
      </c>
      <c r="FT32" s="833" t="str">
        <f t="shared" si="74"/>
        <v/>
      </c>
      <c r="FU32" s="870">
        <f t="shared" si="75"/>
        <v>0</v>
      </c>
      <c r="FV32" s="871">
        <f t="shared" si="76"/>
        <v>0</v>
      </c>
      <c r="GA32" s="1791">
        <v>39</v>
      </c>
      <c r="GB32" s="1792">
        <v>3</v>
      </c>
      <c r="GC32" s="1793">
        <v>-0.25</v>
      </c>
      <c r="GD32" s="1794">
        <v>-0.5</v>
      </c>
      <c r="GE32" s="1795">
        <f t="shared" si="77"/>
        <v>0</v>
      </c>
      <c r="GF32" s="600" t="str">
        <f t="shared" si="78"/>
        <v>J10</v>
      </c>
      <c r="GG32" s="1130">
        <v>0</v>
      </c>
      <c r="GH32" s="1131">
        <v>0</v>
      </c>
      <c r="GI32" s="1130"/>
      <c r="GJ32" s="1131"/>
      <c r="GK32" s="1636">
        <f t="shared" si="79"/>
        <v>470.25</v>
      </c>
      <c r="GL32" s="1636">
        <f t="shared" si="80"/>
        <v>470.25</v>
      </c>
      <c r="GM32" s="1637">
        <f>IF(ABS(GK32-GL32)&gt;='Job Info.'!$L$22,ABS(GK32-GL32),0)</f>
        <v>0</v>
      </c>
      <c r="GZ32" s="415"/>
      <c r="HA32" s="1391" t="s">
        <v>1440</v>
      </c>
      <c r="HB32" s="1392">
        <v>7</v>
      </c>
      <c r="HC32" s="1392" t="s">
        <v>1592</v>
      </c>
      <c r="HD32" s="1393">
        <v>39</v>
      </c>
      <c r="HE32" s="1394">
        <v>2.25</v>
      </c>
      <c r="HF32" s="1392" t="s">
        <v>116</v>
      </c>
      <c r="HG32" s="1392" t="s">
        <v>116</v>
      </c>
      <c r="HH32" s="1392" t="s">
        <v>116</v>
      </c>
      <c r="HI32" s="1395" t="s">
        <v>116</v>
      </c>
      <c r="HJ32" s="1392" t="s">
        <v>116</v>
      </c>
      <c r="HK32" s="1392" t="s">
        <v>116</v>
      </c>
      <c r="HL32" s="1392">
        <v>5</v>
      </c>
      <c r="HM32" s="1392">
        <v>5</v>
      </c>
      <c r="HN32" s="1392" t="s">
        <v>116</v>
      </c>
      <c r="HO32" s="1392" t="s">
        <v>116</v>
      </c>
      <c r="HP32" s="1392" t="s">
        <v>116</v>
      </c>
      <c r="HQ32" s="1395" t="s">
        <v>116</v>
      </c>
      <c r="HR32" s="1392" t="s">
        <v>116</v>
      </c>
      <c r="HS32" s="1392" t="s">
        <v>116</v>
      </c>
      <c r="HT32" s="1392">
        <v>0</v>
      </c>
      <c r="HU32" s="1392">
        <v>2.25</v>
      </c>
      <c r="HV32" s="1392">
        <v>0</v>
      </c>
      <c r="HW32" s="1394">
        <v>2</v>
      </c>
      <c r="HX32" s="1394">
        <v>4</v>
      </c>
      <c r="HY32" s="1394" t="s">
        <v>116</v>
      </c>
      <c r="HZ32" s="1394" t="s">
        <v>116</v>
      </c>
      <c r="IA32" s="1394" t="s">
        <v>1654</v>
      </c>
      <c r="IB32" s="1394"/>
      <c r="IC32" s="1394"/>
      <c r="ID32" s="1394"/>
      <c r="IE32" s="1394"/>
      <c r="IF32" s="1396"/>
    </row>
    <row r="33" spans="1:240" ht="12.6" customHeight="1" x14ac:dyDescent="0.25">
      <c r="A33" s="1448" t="s">
        <v>1441</v>
      </c>
      <c r="B33" s="1681">
        <v>4</v>
      </c>
      <c r="C33" s="1449" t="s">
        <v>1592</v>
      </c>
      <c r="D33" s="1705">
        <v>39</v>
      </c>
      <c r="E33" s="1778">
        <v>2.25</v>
      </c>
      <c r="F33" s="1708" t="str">
        <f t="shared" si="86"/>
        <v/>
      </c>
      <c r="G33" s="1709" t="str">
        <f t="shared" si="87"/>
        <v/>
      </c>
      <c r="H33" s="1779" t="str">
        <f t="shared" si="88"/>
        <v/>
      </c>
      <c r="I33" s="1705" t="str">
        <f t="shared" si="89"/>
        <v/>
      </c>
      <c r="J33" s="1709" t="str">
        <f t="shared" si="90"/>
        <v/>
      </c>
      <c r="K33" s="1780" t="str">
        <f t="shared" si="91"/>
        <v/>
      </c>
      <c r="L33" s="1712">
        <v>5</v>
      </c>
      <c r="M33" s="1713">
        <v>5</v>
      </c>
      <c r="N33" s="1708">
        <v>0</v>
      </c>
      <c r="O33" s="1709">
        <v>6.75</v>
      </c>
      <c r="P33" s="1710">
        <v>2</v>
      </c>
      <c r="Q33" s="1705" t="str">
        <f t="shared" si="95"/>
        <v/>
      </c>
      <c r="R33" s="1709" t="str">
        <f t="shared" si="96"/>
        <v/>
      </c>
      <c r="S33" s="1753" t="str">
        <f t="shared" si="97"/>
        <v/>
      </c>
      <c r="T33" s="1708">
        <v>0</v>
      </c>
      <c r="U33" s="1709">
        <v>2.25</v>
      </c>
      <c r="V33" s="1705">
        <v>0</v>
      </c>
      <c r="W33" s="1709">
        <v>2</v>
      </c>
      <c r="X33" s="1750">
        <v>4</v>
      </c>
      <c r="Y33" s="1781" t="str">
        <f t="shared" si="98"/>
        <v/>
      </c>
      <c r="Z33" s="1782" t="str">
        <f t="shared" si="99"/>
        <v/>
      </c>
      <c r="AA33" s="1783" t="s">
        <v>1715</v>
      </c>
      <c r="AB33" s="1413"/>
      <c r="AC33" s="964" t="b">
        <v>0</v>
      </c>
      <c r="AD33" s="441">
        <f t="shared" si="1"/>
        <v>0</v>
      </c>
      <c r="AE33" s="442">
        <f t="shared" si="2"/>
        <v>4</v>
      </c>
      <c r="AF33" s="442">
        <f t="shared" si="3"/>
        <v>0</v>
      </c>
      <c r="AG33" s="442">
        <f t="shared" si="4"/>
        <v>0</v>
      </c>
      <c r="AH33" s="443">
        <f t="shared" si="5"/>
        <v>0</v>
      </c>
      <c r="AI33" s="444" t="b">
        <v>0</v>
      </c>
      <c r="AJ33" s="238">
        <f t="shared" si="108"/>
        <v>32</v>
      </c>
      <c r="AK33" s="238" t="str">
        <f t="shared" si="6"/>
        <v>LH</v>
      </c>
      <c r="AL33" s="1290" t="str">
        <f t="shared" si="7"/>
        <v/>
      </c>
      <c r="AM33" s="238">
        <f t="shared" si="8"/>
        <v>305</v>
      </c>
      <c r="AN33" s="238">
        <f t="shared" si="9"/>
        <v>180</v>
      </c>
      <c r="AO33" s="238" t="str">
        <f t="shared" si="10"/>
        <v/>
      </c>
      <c r="AP33" s="830" t="b">
        <f>IF(ISERROR(AJ33),FALSE,IF(OR(AJ33=0,ISERROR(AL33),ISERROR(AM33),ISERROR(AN33),ISERROR(AO33)),FALSE,IF(AL33&lt;&gt;"",IF(ISERROR(VLOOKUP(SUBSTITUTE(SUBSTITUTE(C33,"R",""),"A",""),TblJoistSize!$A:$A,1,FALSE)),FALSE,TRUE),TRUE)))</f>
        <v>1</v>
      </c>
      <c r="AQ33" s="1038">
        <f t="shared" si="11"/>
        <v>6</v>
      </c>
      <c r="AR33" s="945" t="b">
        <f t="shared" si="83"/>
        <v>1</v>
      </c>
      <c r="AS33" s="1038">
        <f t="shared" si="12"/>
        <v>6</v>
      </c>
      <c r="AT33" s="945" t="b">
        <f t="shared" si="84"/>
        <v>1</v>
      </c>
      <c r="AU33" s="1291" t="str">
        <f t="shared" si="13"/>
        <v>LH</v>
      </c>
      <c r="AV33" s="830" t="str">
        <f t="shared" si="14"/>
        <v/>
      </c>
      <c r="AW33" s="830" t="str">
        <f t="shared" si="81"/>
        <v>LH</v>
      </c>
      <c r="AX33" s="830" t="str">
        <f t="shared" si="85"/>
        <v>TJ11</v>
      </c>
      <c r="AY33" s="464" t="b">
        <f t="shared" si="15"/>
        <v>0</v>
      </c>
      <c r="AZ33" s="856" t="b">
        <f t="shared" si="82"/>
        <v>0</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16"/>
        <v/>
      </c>
      <c r="BR33" s="1563"/>
      <c r="BS33" s="672"/>
      <c r="BT33" s="982"/>
      <c r="BU33" s="983"/>
      <c r="BV33" s="1625"/>
      <c r="BW33" s="982"/>
      <c r="BX33" s="983"/>
      <c r="BY33" s="1569"/>
      <c r="BZ33" s="1570"/>
      <c r="CA33" s="1617" t="str">
        <f>IF(ISERROR(DE33),"",IF(DE33="","",IF(VLOOKUP(BS33,SectInfo!$B:$N,10,FALSE)="","","X")))</f>
        <v/>
      </c>
      <c r="CB33" s="1561"/>
      <c r="CC33" s="1562" t="str">
        <f t="shared" si="17"/>
        <v/>
      </c>
      <c r="CD33" s="1563"/>
      <c r="CE33" s="1574"/>
      <c r="CF33" s="736"/>
      <c r="CG33" s="737"/>
      <c r="CH33" s="643" t="str">
        <f t="shared" si="18"/>
        <v/>
      </c>
      <c r="CI33" s="644" t="str">
        <f t="shared" si="19"/>
        <v/>
      </c>
      <c r="CJ33" s="645" t="str">
        <f t="shared" si="20"/>
        <v/>
      </c>
      <c r="CK33" s="852" t="str">
        <f t="shared" si="21"/>
        <v/>
      </c>
      <c r="CL33" s="847" t="str">
        <f t="shared" si="22"/>
        <v/>
      </c>
      <c r="CM33" s="848" t="str">
        <f t="shared" si="23"/>
        <v/>
      </c>
      <c r="CN33" s="611" t="str">
        <f t="shared" si="24"/>
        <v/>
      </c>
      <c r="CO33" s="612" t="str">
        <f t="shared" si="25"/>
        <v/>
      </c>
      <c r="CP33" s="615" t="str">
        <f t="shared" si="26"/>
        <v/>
      </c>
      <c r="CQ33" s="616" t="str">
        <f t="shared" si="27"/>
        <v/>
      </c>
      <c r="CR33" s="750">
        <f t="shared" si="28"/>
        <v>5</v>
      </c>
      <c r="CS33" s="751">
        <f t="shared" si="29"/>
        <v>5</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0"/>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1"/>
        <v>0</v>
      </c>
      <c r="DO33" s="818">
        <f t="shared" si="32"/>
        <v>0</v>
      </c>
      <c r="DP33" s="822" t="str">
        <f t="shared" si="33"/>
        <v/>
      </c>
      <c r="DQ33" s="822" t="str">
        <f t="shared" si="34"/>
        <v/>
      </c>
      <c r="DR33" s="822" t="str">
        <f t="shared" si="35"/>
        <v/>
      </c>
      <c r="DS33" s="821">
        <f t="shared" si="36"/>
        <v>0</v>
      </c>
      <c r="DT33" s="821">
        <f t="shared" si="37"/>
        <v>0</v>
      </c>
      <c r="DU33" s="821" t="str">
        <f t="shared" si="38"/>
        <v/>
      </c>
      <c r="DV33" s="822" t="str">
        <f t="shared" si="39"/>
        <v/>
      </c>
      <c r="DW33" s="856" t="str">
        <f t="shared" si="40"/>
        <v/>
      </c>
      <c r="DX33" s="1006">
        <f t="shared" si="100"/>
        <v>0</v>
      </c>
      <c r="DY33" s="822">
        <f t="shared" si="41"/>
        <v>0</v>
      </c>
      <c r="DZ33" s="821">
        <f t="shared" si="42"/>
        <v>0</v>
      </c>
      <c r="EA33" s="821" t="str">
        <f t="shared" si="43"/>
        <v/>
      </c>
      <c r="EB33" s="822" t="str">
        <f t="shared" si="101"/>
        <v/>
      </c>
      <c r="EC33" s="856" t="str">
        <f t="shared" si="44"/>
        <v/>
      </c>
      <c r="ED33" s="1006">
        <f t="shared" si="102"/>
        <v>0</v>
      </c>
      <c r="EE33" s="1293" t="str">
        <f t="shared" si="45"/>
        <v/>
      </c>
      <c r="EF33" s="822" t="str">
        <f t="shared" si="103"/>
        <v/>
      </c>
      <c r="EG33" s="822" t="str">
        <f t="shared" si="104"/>
        <v/>
      </c>
      <c r="EH33" s="856" t="str">
        <f t="shared" si="46"/>
        <v>ERR</v>
      </c>
      <c r="EI33" s="856" t="str">
        <f t="shared" si="47"/>
        <v>ERR</v>
      </c>
      <c r="EJ33" s="822" t="str">
        <f t="shared" si="48"/>
        <v/>
      </c>
      <c r="EK33" s="822" t="str">
        <f t="shared" si="48"/>
        <v/>
      </c>
      <c r="EL33" s="1293" t="str">
        <f t="shared" si="49"/>
        <v/>
      </c>
      <c r="EM33" s="822" t="str">
        <f t="shared" si="105"/>
        <v/>
      </c>
      <c r="EN33" s="822" t="str">
        <f t="shared" si="106"/>
        <v/>
      </c>
      <c r="EO33" s="856" t="str">
        <f t="shared" si="50"/>
        <v>ERR</v>
      </c>
      <c r="EP33" s="856" t="str">
        <f t="shared" si="51"/>
        <v>ERR</v>
      </c>
      <c r="EQ33" s="822" t="str">
        <f t="shared" si="52"/>
        <v/>
      </c>
      <c r="ER33" s="822" t="str">
        <f t="shared" si="52"/>
        <v/>
      </c>
      <c r="ES33" s="822" t="str">
        <f t="shared" si="53"/>
        <v/>
      </c>
      <c r="ET33" s="822" t="str">
        <f t="shared" si="54"/>
        <v/>
      </c>
      <c r="EU33" s="829">
        <f t="shared" si="55"/>
        <v>4</v>
      </c>
      <c r="EV33" s="824" t="str">
        <f t="shared" si="10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56"/>
        <v/>
      </c>
      <c r="FA33" s="829" t="str">
        <f>IF(AND(DE33="G", ISBLANK(BW33), ISBLANK(BX33)),VLOOKUP(MIN(BT33:BU33),TblJoistSize!$M$3:$N$10,2),IF(OR(DE33="B", DE33="G"),MIN(BW33:BX33),""))</f>
        <v/>
      </c>
      <c r="FB33" s="829" t="str">
        <f>IF(AND(DE33="G", ISBLANK(BW33), ISBLANK(BX33)),VLOOKUP(MAX(BT33:BU33),TblJoistSize!$M$3:$N$10,2),IF(OR(DE33="B", DE33="G"),MAX(BW33:BX33),""))</f>
        <v/>
      </c>
      <c r="FC33" s="829" t="str">
        <f t="shared" si="57"/>
        <v/>
      </c>
      <c r="FD33" s="822">
        <f t="shared" si="58"/>
        <v>0</v>
      </c>
      <c r="FE33" s="822">
        <f t="shared" si="59"/>
        <v>0</v>
      </c>
      <c r="FF33" s="821">
        <f t="shared" si="60"/>
        <v>0</v>
      </c>
      <c r="FG33" s="821" t="str">
        <f t="shared" si="61"/>
        <v/>
      </c>
      <c r="FH33" s="822" t="str">
        <f t="shared" si="62"/>
        <v/>
      </c>
      <c r="FI33" s="822">
        <f t="shared" si="63"/>
        <v>0</v>
      </c>
      <c r="FJ33" s="822">
        <f t="shared" si="64"/>
        <v>0</v>
      </c>
      <c r="FK33" s="821">
        <f t="shared" si="65"/>
        <v>0</v>
      </c>
      <c r="FL33" s="821" t="str">
        <f t="shared" si="66"/>
        <v/>
      </c>
      <c r="FM33" s="822" t="str">
        <f t="shared" si="67"/>
        <v/>
      </c>
      <c r="FN33" s="822" t="e">
        <f t="shared" si="68"/>
        <v>#VALUE!</v>
      </c>
      <c r="FO33" s="940" t="e">
        <f t="shared" si="69"/>
        <v>#VALUE!</v>
      </c>
      <c r="FP33" s="940" t="e">
        <f t="shared" si="70"/>
        <v>#VALUE!</v>
      </c>
      <c r="FQ33" s="830" t="e">
        <f t="shared" si="71"/>
        <v>#VALUE!</v>
      </c>
      <c r="FR33" s="831" t="e">
        <f t="shared" si="72"/>
        <v>#VALUE!</v>
      </c>
      <c r="FS33" s="832" t="str">
        <f t="shared" si="73"/>
        <v/>
      </c>
      <c r="FT33" s="833" t="str">
        <f t="shared" si="74"/>
        <v/>
      </c>
      <c r="FU33" s="870">
        <f t="shared" si="75"/>
        <v>0</v>
      </c>
      <c r="FV33" s="871">
        <f t="shared" si="76"/>
        <v>0</v>
      </c>
      <c r="GA33" s="1791">
        <v>39</v>
      </c>
      <c r="GB33" s="1792">
        <v>3</v>
      </c>
      <c r="GC33" s="1793">
        <v>-0.25</v>
      </c>
      <c r="GD33" s="1794">
        <v>-0.5</v>
      </c>
      <c r="GE33" s="1795">
        <f t="shared" si="77"/>
        <v>0</v>
      </c>
      <c r="GF33" s="600" t="str">
        <f t="shared" si="78"/>
        <v>TJ11</v>
      </c>
      <c r="GG33" s="1130">
        <v>0</v>
      </c>
      <c r="GH33" s="1131">
        <v>0</v>
      </c>
      <c r="GI33" s="1130"/>
      <c r="GJ33" s="1131"/>
      <c r="GK33" s="1636">
        <f t="shared" si="79"/>
        <v>470.25</v>
      </c>
      <c r="GL33" s="1636">
        <f t="shared" si="80"/>
        <v>470.25</v>
      </c>
      <c r="GM33" s="1637">
        <f>IF(ABS(GK33-GL33)&gt;='Job Info.'!$L$22,ABS(GK33-GL33),0)</f>
        <v>0</v>
      </c>
      <c r="GZ33" s="415"/>
      <c r="HA33" s="1391" t="s">
        <v>1441</v>
      </c>
      <c r="HB33" s="1392">
        <v>4</v>
      </c>
      <c r="HC33" s="1392" t="s">
        <v>1592</v>
      </c>
      <c r="HD33" s="1393">
        <v>39</v>
      </c>
      <c r="HE33" s="1394">
        <v>2.25</v>
      </c>
      <c r="HF33" s="1392" t="s">
        <v>116</v>
      </c>
      <c r="HG33" s="1392" t="s">
        <v>116</v>
      </c>
      <c r="HH33" s="1392" t="s">
        <v>116</v>
      </c>
      <c r="HI33" s="1395" t="s">
        <v>116</v>
      </c>
      <c r="HJ33" s="1392" t="s">
        <v>116</v>
      </c>
      <c r="HK33" s="1392" t="s">
        <v>116</v>
      </c>
      <c r="HL33" s="1392">
        <v>5</v>
      </c>
      <c r="HM33" s="1392">
        <v>5</v>
      </c>
      <c r="HN33" s="1392">
        <v>0</v>
      </c>
      <c r="HO33" s="1392">
        <v>6.75</v>
      </c>
      <c r="HP33" s="1392">
        <v>2</v>
      </c>
      <c r="HQ33" s="1395" t="s">
        <v>116</v>
      </c>
      <c r="HR33" s="1392" t="s">
        <v>116</v>
      </c>
      <c r="HS33" s="1392" t="s">
        <v>116</v>
      </c>
      <c r="HT33" s="1392">
        <v>0</v>
      </c>
      <c r="HU33" s="1392">
        <v>2.25</v>
      </c>
      <c r="HV33" s="1392">
        <v>0</v>
      </c>
      <c r="HW33" s="1394">
        <v>2</v>
      </c>
      <c r="HX33" s="1394">
        <v>4</v>
      </c>
      <c r="HY33" s="1394" t="s">
        <v>116</v>
      </c>
      <c r="HZ33" s="1394" t="s">
        <v>116</v>
      </c>
      <c r="IA33" s="1394" t="s">
        <v>1653</v>
      </c>
      <c r="IB33" s="1394"/>
      <c r="IC33" s="1394"/>
      <c r="ID33" s="1394"/>
      <c r="IE33" s="1394"/>
      <c r="IF33" s="1396"/>
    </row>
    <row r="34" spans="1:240" ht="12.6" customHeight="1" x14ac:dyDescent="0.25">
      <c r="A34" s="1448" t="s">
        <v>1442</v>
      </c>
      <c r="B34" s="1681">
        <v>1</v>
      </c>
      <c r="C34" s="1449" t="s">
        <v>1592</v>
      </c>
      <c r="D34" s="1705">
        <v>39</v>
      </c>
      <c r="E34" s="1778">
        <v>2.25</v>
      </c>
      <c r="F34" s="1708" t="str">
        <f t="shared" si="86"/>
        <v/>
      </c>
      <c r="G34" s="1709" t="str">
        <f t="shared" si="87"/>
        <v/>
      </c>
      <c r="H34" s="1779" t="str">
        <f t="shared" si="88"/>
        <v/>
      </c>
      <c r="I34" s="1705" t="str">
        <f t="shared" si="89"/>
        <v/>
      </c>
      <c r="J34" s="1709" t="str">
        <f t="shared" si="90"/>
        <v/>
      </c>
      <c r="K34" s="1780" t="str">
        <f t="shared" si="91"/>
        <v/>
      </c>
      <c r="L34" s="1712">
        <v>5</v>
      </c>
      <c r="M34" s="1713">
        <v>5</v>
      </c>
      <c r="N34" s="1708" t="str">
        <f t="shared" si="92"/>
        <v/>
      </c>
      <c r="O34" s="1709" t="str">
        <f t="shared" si="93"/>
        <v/>
      </c>
      <c r="P34" s="1710" t="str">
        <f t="shared" si="94"/>
        <v/>
      </c>
      <c r="Q34" s="1705" t="str">
        <f t="shared" si="95"/>
        <v/>
      </c>
      <c r="R34" s="1709" t="str">
        <f t="shared" si="96"/>
        <v/>
      </c>
      <c r="S34" s="1753" t="str">
        <f t="shared" si="97"/>
        <v/>
      </c>
      <c r="T34" s="1708">
        <v>0</v>
      </c>
      <c r="U34" s="1709">
        <v>2.25</v>
      </c>
      <c r="V34" s="1705">
        <v>0</v>
      </c>
      <c r="W34" s="1709">
        <v>2</v>
      </c>
      <c r="X34" s="1750">
        <v>4</v>
      </c>
      <c r="Y34" s="1781" t="str">
        <f t="shared" si="98"/>
        <v/>
      </c>
      <c r="Z34" s="1782" t="str">
        <f t="shared" si="99"/>
        <v/>
      </c>
      <c r="AA34" s="1783" t="s">
        <v>1716</v>
      </c>
      <c r="AB34" s="1413"/>
      <c r="AC34" s="964" t="b">
        <v>0</v>
      </c>
      <c r="AD34" s="441">
        <f t="shared" si="1"/>
        <v>0</v>
      </c>
      <c r="AE34" s="442">
        <f t="shared" si="2"/>
        <v>1</v>
      </c>
      <c r="AF34" s="442">
        <f t="shared" si="3"/>
        <v>0</v>
      </c>
      <c r="AG34" s="442">
        <f t="shared" si="4"/>
        <v>0</v>
      </c>
      <c r="AH34" s="443">
        <f t="shared" si="5"/>
        <v>0</v>
      </c>
      <c r="AI34" s="444" t="b">
        <v>0</v>
      </c>
      <c r="AJ34" s="238">
        <f t="shared" si="108"/>
        <v>32</v>
      </c>
      <c r="AK34" s="238" t="str">
        <f t="shared" si="6"/>
        <v>LH</v>
      </c>
      <c r="AL34" s="1290" t="str">
        <f t="shared" si="7"/>
        <v/>
      </c>
      <c r="AM34" s="238">
        <f t="shared" si="8"/>
        <v>305</v>
      </c>
      <c r="AN34" s="238">
        <f t="shared" si="9"/>
        <v>180</v>
      </c>
      <c r="AO34" s="238" t="str">
        <f t="shared" si="10"/>
        <v/>
      </c>
      <c r="AP34" s="830" t="b">
        <f>IF(ISERROR(AJ34),FALSE,IF(OR(AJ34=0,ISERROR(AL34),ISERROR(AM34),ISERROR(AN34),ISERROR(AO34)),FALSE,IF(AL34&lt;&gt;"",IF(ISERROR(VLOOKUP(SUBSTITUTE(SUBSTITUTE(C34,"R",""),"A",""),TblJoistSize!$A:$A,1,FALSE)),FALSE,TRUE),TRUE)))</f>
        <v>1</v>
      </c>
      <c r="AQ34" s="1038">
        <f t="shared" si="11"/>
        <v>6</v>
      </c>
      <c r="AR34" s="945" t="b">
        <f t="shared" si="83"/>
        <v>1</v>
      </c>
      <c r="AS34" s="1038">
        <f t="shared" si="12"/>
        <v>6</v>
      </c>
      <c r="AT34" s="945" t="b">
        <f t="shared" si="84"/>
        <v>1</v>
      </c>
      <c r="AU34" s="1291" t="str">
        <f t="shared" si="13"/>
        <v>LH</v>
      </c>
      <c r="AV34" s="830" t="str">
        <f t="shared" si="14"/>
        <v/>
      </c>
      <c r="AW34" s="830" t="str">
        <f t="shared" si="81"/>
        <v>LH</v>
      </c>
      <c r="AX34" s="830" t="str">
        <f t="shared" si="85"/>
        <v>J12</v>
      </c>
      <c r="AY34" s="464" t="b">
        <f t="shared" si="15"/>
        <v>0</v>
      </c>
      <c r="AZ34" s="856" t="b">
        <f t="shared" si="82"/>
        <v>0</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16"/>
        <v/>
      </c>
      <c r="BR34" s="1563"/>
      <c r="BS34" s="672"/>
      <c r="BT34" s="982"/>
      <c r="BU34" s="983"/>
      <c r="BV34" s="1625"/>
      <c r="BW34" s="982"/>
      <c r="BX34" s="983"/>
      <c r="BY34" s="1569"/>
      <c r="BZ34" s="1570"/>
      <c r="CA34" s="1617" t="str">
        <f>IF(ISERROR(DE34),"",IF(DE34="","",IF(VLOOKUP(BS34,SectInfo!$B:$N,10,FALSE)="","","X")))</f>
        <v/>
      </c>
      <c r="CB34" s="1561"/>
      <c r="CC34" s="1562" t="str">
        <f t="shared" si="17"/>
        <v/>
      </c>
      <c r="CD34" s="1563"/>
      <c r="CE34" s="1574"/>
      <c r="CF34" s="736"/>
      <c r="CG34" s="737"/>
      <c r="CH34" s="643" t="str">
        <f t="shared" si="18"/>
        <v/>
      </c>
      <c r="CI34" s="644" t="str">
        <f t="shared" si="19"/>
        <v/>
      </c>
      <c r="CJ34" s="645" t="str">
        <f t="shared" si="20"/>
        <v/>
      </c>
      <c r="CK34" s="852" t="str">
        <f t="shared" si="21"/>
        <v/>
      </c>
      <c r="CL34" s="847" t="str">
        <f t="shared" si="22"/>
        <v/>
      </c>
      <c r="CM34" s="848" t="str">
        <f t="shared" si="23"/>
        <v/>
      </c>
      <c r="CN34" s="611" t="str">
        <f t="shared" si="24"/>
        <v/>
      </c>
      <c r="CO34" s="612" t="str">
        <f t="shared" si="25"/>
        <v/>
      </c>
      <c r="CP34" s="615" t="str">
        <f t="shared" si="26"/>
        <v/>
      </c>
      <c r="CQ34" s="616" t="str">
        <f t="shared" si="27"/>
        <v/>
      </c>
      <c r="CR34" s="750">
        <f t="shared" si="28"/>
        <v>5</v>
      </c>
      <c r="CS34" s="751">
        <f t="shared" si="29"/>
        <v>5</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0"/>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1"/>
        <v>0</v>
      </c>
      <c r="DO34" s="818">
        <f t="shared" si="32"/>
        <v>0</v>
      </c>
      <c r="DP34" s="822" t="str">
        <f t="shared" si="33"/>
        <v/>
      </c>
      <c r="DQ34" s="822" t="str">
        <f t="shared" si="34"/>
        <v/>
      </c>
      <c r="DR34" s="822" t="str">
        <f t="shared" si="35"/>
        <v/>
      </c>
      <c r="DS34" s="821">
        <f t="shared" si="36"/>
        <v>0</v>
      </c>
      <c r="DT34" s="821">
        <f t="shared" si="37"/>
        <v>0</v>
      </c>
      <c r="DU34" s="821" t="str">
        <f t="shared" si="38"/>
        <v/>
      </c>
      <c r="DV34" s="822" t="str">
        <f t="shared" si="39"/>
        <v/>
      </c>
      <c r="DW34" s="856" t="str">
        <f t="shared" si="40"/>
        <v/>
      </c>
      <c r="DX34" s="1006">
        <f t="shared" si="100"/>
        <v>0</v>
      </c>
      <c r="DY34" s="822">
        <f t="shared" si="41"/>
        <v>0</v>
      </c>
      <c r="DZ34" s="821">
        <f t="shared" si="42"/>
        <v>0</v>
      </c>
      <c r="EA34" s="821" t="str">
        <f t="shared" si="43"/>
        <v/>
      </c>
      <c r="EB34" s="822" t="str">
        <f t="shared" si="101"/>
        <v/>
      </c>
      <c r="EC34" s="856" t="str">
        <f t="shared" si="44"/>
        <v/>
      </c>
      <c r="ED34" s="1006">
        <f t="shared" si="102"/>
        <v>0</v>
      </c>
      <c r="EE34" s="1293" t="str">
        <f t="shared" si="45"/>
        <v/>
      </c>
      <c r="EF34" s="822" t="str">
        <f t="shared" si="103"/>
        <v/>
      </c>
      <c r="EG34" s="822" t="str">
        <f t="shared" si="104"/>
        <v/>
      </c>
      <c r="EH34" s="856" t="str">
        <f t="shared" si="46"/>
        <v>ERR</v>
      </c>
      <c r="EI34" s="856" t="str">
        <f t="shared" si="47"/>
        <v>ERR</v>
      </c>
      <c r="EJ34" s="822" t="str">
        <f t="shared" si="48"/>
        <v/>
      </c>
      <c r="EK34" s="822" t="str">
        <f t="shared" si="48"/>
        <v/>
      </c>
      <c r="EL34" s="1293" t="str">
        <f t="shared" si="49"/>
        <v/>
      </c>
      <c r="EM34" s="822" t="str">
        <f t="shared" si="105"/>
        <v/>
      </c>
      <c r="EN34" s="822" t="str">
        <f t="shared" si="106"/>
        <v/>
      </c>
      <c r="EO34" s="856" t="str">
        <f t="shared" si="50"/>
        <v>ERR</v>
      </c>
      <c r="EP34" s="856" t="str">
        <f t="shared" si="51"/>
        <v>ERR</v>
      </c>
      <c r="EQ34" s="822" t="str">
        <f t="shared" si="52"/>
        <v/>
      </c>
      <c r="ER34" s="822" t="str">
        <f t="shared" si="52"/>
        <v/>
      </c>
      <c r="ES34" s="822" t="str">
        <f t="shared" si="53"/>
        <v/>
      </c>
      <c r="ET34" s="822" t="str">
        <f t="shared" si="54"/>
        <v/>
      </c>
      <c r="EU34" s="829">
        <f t="shared" si="55"/>
        <v>4</v>
      </c>
      <c r="EV34" s="824" t="str">
        <f t="shared" si="10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56"/>
        <v/>
      </c>
      <c r="FA34" s="829" t="str">
        <f>IF(AND(DE34="G", ISBLANK(BW34), ISBLANK(BX34)),VLOOKUP(MIN(BT34:BU34),TblJoistSize!$M$3:$N$10,2),IF(OR(DE34="B", DE34="G"),MIN(BW34:BX34),""))</f>
        <v/>
      </c>
      <c r="FB34" s="829" t="str">
        <f>IF(AND(DE34="G", ISBLANK(BW34), ISBLANK(BX34)),VLOOKUP(MAX(BT34:BU34),TblJoistSize!$M$3:$N$10,2),IF(OR(DE34="B", DE34="G"),MAX(BW34:BX34),""))</f>
        <v/>
      </c>
      <c r="FC34" s="829" t="str">
        <f t="shared" si="57"/>
        <v/>
      </c>
      <c r="FD34" s="822">
        <f t="shared" si="58"/>
        <v>0</v>
      </c>
      <c r="FE34" s="822">
        <f t="shared" si="59"/>
        <v>0</v>
      </c>
      <c r="FF34" s="821">
        <f t="shared" si="60"/>
        <v>0</v>
      </c>
      <c r="FG34" s="821" t="str">
        <f t="shared" si="61"/>
        <v/>
      </c>
      <c r="FH34" s="822" t="str">
        <f t="shared" si="62"/>
        <v/>
      </c>
      <c r="FI34" s="822">
        <f t="shared" si="63"/>
        <v>0</v>
      </c>
      <c r="FJ34" s="822">
        <f t="shared" si="64"/>
        <v>0</v>
      </c>
      <c r="FK34" s="821">
        <f t="shared" si="65"/>
        <v>0</v>
      </c>
      <c r="FL34" s="821" t="str">
        <f t="shared" si="66"/>
        <v/>
      </c>
      <c r="FM34" s="822" t="str">
        <f t="shared" si="67"/>
        <v/>
      </c>
      <c r="FN34" s="822" t="e">
        <f t="shared" si="68"/>
        <v>#VALUE!</v>
      </c>
      <c r="FO34" s="940" t="e">
        <f t="shared" si="69"/>
        <v>#VALUE!</v>
      </c>
      <c r="FP34" s="940" t="e">
        <f t="shared" si="70"/>
        <v>#VALUE!</v>
      </c>
      <c r="FQ34" s="830" t="e">
        <f t="shared" si="71"/>
        <v>#VALUE!</v>
      </c>
      <c r="FR34" s="831" t="e">
        <f t="shared" si="72"/>
        <v>#VALUE!</v>
      </c>
      <c r="FS34" s="832" t="str">
        <f t="shared" si="73"/>
        <v/>
      </c>
      <c r="FT34" s="833" t="str">
        <f t="shared" si="74"/>
        <v/>
      </c>
      <c r="FU34" s="870">
        <f t="shared" si="75"/>
        <v>0</v>
      </c>
      <c r="FV34" s="871">
        <f t="shared" si="76"/>
        <v>0</v>
      </c>
      <c r="GA34" s="1791">
        <v>39</v>
      </c>
      <c r="GB34" s="1792">
        <v>3</v>
      </c>
      <c r="GC34" s="1793">
        <v>-0.25</v>
      </c>
      <c r="GD34" s="1794">
        <v>-0.5</v>
      </c>
      <c r="GE34" s="1795">
        <f t="shared" si="77"/>
        <v>0</v>
      </c>
      <c r="GF34" s="600" t="str">
        <f t="shared" si="78"/>
        <v>J12</v>
      </c>
      <c r="GG34" s="1130">
        <v>0</v>
      </c>
      <c r="GH34" s="1131">
        <v>0</v>
      </c>
      <c r="GI34" s="1130"/>
      <c r="GJ34" s="1131"/>
      <c r="GK34" s="1636">
        <f t="shared" si="79"/>
        <v>470.25</v>
      </c>
      <c r="GL34" s="1636">
        <f t="shared" si="80"/>
        <v>470.25</v>
      </c>
      <c r="GM34" s="1637">
        <f>IF(ABS(GK34-GL34)&gt;='Job Info.'!$L$22,ABS(GK34-GL34),0)</f>
        <v>0</v>
      </c>
      <c r="GZ34" s="415"/>
      <c r="HA34" s="1391" t="s">
        <v>1442</v>
      </c>
      <c r="HB34" s="1392">
        <v>1</v>
      </c>
      <c r="HC34" s="1392" t="s">
        <v>1592</v>
      </c>
      <c r="HD34" s="1393">
        <v>39</v>
      </c>
      <c r="HE34" s="1394">
        <v>2.25</v>
      </c>
      <c r="HF34" s="1392" t="s">
        <v>116</v>
      </c>
      <c r="HG34" s="1392" t="s">
        <v>116</v>
      </c>
      <c r="HH34" s="1392" t="s">
        <v>116</v>
      </c>
      <c r="HI34" s="1395" t="s">
        <v>116</v>
      </c>
      <c r="HJ34" s="1392" t="s">
        <v>116</v>
      </c>
      <c r="HK34" s="1392" t="s">
        <v>116</v>
      </c>
      <c r="HL34" s="1392">
        <v>5</v>
      </c>
      <c r="HM34" s="1392">
        <v>5</v>
      </c>
      <c r="HN34" s="1392" t="s">
        <v>116</v>
      </c>
      <c r="HO34" s="1392" t="s">
        <v>116</v>
      </c>
      <c r="HP34" s="1392" t="s">
        <v>116</v>
      </c>
      <c r="HQ34" s="1395" t="s">
        <v>116</v>
      </c>
      <c r="HR34" s="1392" t="s">
        <v>116</v>
      </c>
      <c r="HS34" s="1392" t="s">
        <v>116</v>
      </c>
      <c r="HT34" s="1392">
        <v>0</v>
      </c>
      <c r="HU34" s="1392">
        <v>2.25</v>
      </c>
      <c r="HV34" s="1392">
        <v>0</v>
      </c>
      <c r="HW34" s="1394">
        <v>2</v>
      </c>
      <c r="HX34" s="1394">
        <v>4</v>
      </c>
      <c r="HY34" s="1394" t="s">
        <v>116</v>
      </c>
      <c r="HZ34" s="1394" t="s">
        <v>116</v>
      </c>
      <c r="IA34" s="1394" t="s">
        <v>1655</v>
      </c>
      <c r="IB34" s="1394"/>
      <c r="IC34" s="1394"/>
      <c r="ID34" s="1394"/>
      <c r="IE34" s="1394"/>
      <c r="IF34" s="1396"/>
    </row>
    <row r="35" spans="1:240" ht="12.6" customHeight="1" x14ac:dyDescent="0.25">
      <c r="A35" s="1448" t="s">
        <v>1443</v>
      </c>
      <c r="B35" s="1681">
        <v>1</v>
      </c>
      <c r="C35" s="1449" t="s">
        <v>1592</v>
      </c>
      <c r="D35" s="1705">
        <v>39</v>
      </c>
      <c r="E35" s="1778">
        <v>2.25</v>
      </c>
      <c r="F35" s="1708" t="str">
        <f t="shared" si="86"/>
        <v/>
      </c>
      <c r="G35" s="1709" t="str">
        <f t="shared" si="87"/>
        <v/>
      </c>
      <c r="H35" s="1779" t="str">
        <f t="shared" si="88"/>
        <v/>
      </c>
      <c r="I35" s="1705" t="str">
        <f t="shared" si="89"/>
        <v/>
      </c>
      <c r="J35" s="1709" t="str">
        <f t="shared" si="90"/>
        <v/>
      </c>
      <c r="K35" s="1780" t="str">
        <f t="shared" si="91"/>
        <v/>
      </c>
      <c r="L35" s="1712">
        <v>5</v>
      </c>
      <c r="M35" s="1713">
        <v>5</v>
      </c>
      <c r="N35" s="1708" t="str">
        <f t="shared" si="92"/>
        <v/>
      </c>
      <c r="O35" s="1709" t="str">
        <f t="shared" si="93"/>
        <v/>
      </c>
      <c r="P35" s="1710" t="str">
        <f t="shared" si="94"/>
        <v/>
      </c>
      <c r="Q35" s="1705" t="str">
        <f t="shared" si="95"/>
        <v/>
      </c>
      <c r="R35" s="1709" t="str">
        <f t="shared" si="96"/>
        <v/>
      </c>
      <c r="S35" s="1753" t="str">
        <f t="shared" si="97"/>
        <v/>
      </c>
      <c r="T35" s="1708">
        <v>0</v>
      </c>
      <c r="U35" s="1709">
        <v>2.25</v>
      </c>
      <c r="V35" s="1705">
        <v>0</v>
      </c>
      <c r="W35" s="1709">
        <v>2</v>
      </c>
      <c r="X35" s="1750">
        <v>4</v>
      </c>
      <c r="Y35" s="1781" t="str">
        <f t="shared" si="98"/>
        <v/>
      </c>
      <c r="Z35" s="1782" t="str">
        <f t="shared" si="99"/>
        <v/>
      </c>
      <c r="AA35" s="1783" t="s">
        <v>1717</v>
      </c>
      <c r="AB35" s="1413"/>
      <c r="AC35" s="964" t="b">
        <v>0</v>
      </c>
      <c r="AD35" s="441">
        <f t="shared" si="1"/>
        <v>0</v>
      </c>
      <c r="AE35" s="442">
        <f t="shared" si="2"/>
        <v>1</v>
      </c>
      <c r="AF35" s="442">
        <f t="shared" si="3"/>
        <v>0</v>
      </c>
      <c r="AG35" s="442">
        <f t="shared" si="4"/>
        <v>0</v>
      </c>
      <c r="AH35" s="443">
        <f t="shared" si="5"/>
        <v>0</v>
      </c>
      <c r="AI35" s="444" t="b">
        <v>0</v>
      </c>
      <c r="AJ35" s="238">
        <f t="shared" si="108"/>
        <v>32</v>
      </c>
      <c r="AK35" s="238" t="str">
        <f t="shared" si="6"/>
        <v>LH</v>
      </c>
      <c r="AL35" s="1290" t="str">
        <f t="shared" si="7"/>
        <v/>
      </c>
      <c r="AM35" s="238">
        <f t="shared" si="8"/>
        <v>305</v>
      </c>
      <c r="AN35" s="238">
        <f t="shared" si="9"/>
        <v>180</v>
      </c>
      <c r="AO35" s="238" t="str">
        <f t="shared" si="10"/>
        <v/>
      </c>
      <c r="AP35" s="830" t="b">
        <f>IF(ISERROR(AJ35),FALSE,IF(OR(AJ35=0,ISERROR(AL35),ISERROR(AM35),ISERROR(AN35),ISERROR(AO35)),FALSE,IF(AL35&lt;&gt;"",IF(ISERROR(VLOOKUP(SUBSTITUTE(SUBSTITUTE(C35,"R",""),"A",""),TblJoistSize!$A:$A,1,FALSE)),FALSE,TRUE),TRUE)))</f>
        <v>1</v>
      </c>
      <c r="AQ35" s="1038">
        <f t="shared" si="11"/>
        <v>6</v>
      </c>
      <c r="AR35" s="945" t="b">
        <f t="shared" si="83"/>
        <v>1</v>
      </c>
      <c r="AS35" s="1038">
        <f t="shared" si="12"/>
        <v>6</v>
      </c>
      <c r="AT35" s="945" t="b">
        <f t="shared" si="84"/>
        <v>1</v>
      </c>
      <c r="AU35" s="1291" t="str">
        <f t="shared" si="13"/>
        <v>LH</v>
      </c>
      <c r="AV35" s="830" t="str">
        <f t="shared" si="14"/>
        <v/>
      </c>
      <c r="AW35" s="830" t="str">
        <f t="shared" si="81"/>
        <v>LH</v>
      </c>
      <c r="AX35" s="830" t="str">
        <f t="shared" si="85"/>
        <v>J13</v>
      </c>
      <c r="AY35" s="464" t="b">
        <f t="shared" si="15"/>
        <v>0</v>
      </c>
      <c r="AZ35" s="856" t="b">
        <f t="shared" si="82"/>
        <v>0</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16"/>
        <v/>
      </c>
      <c r="BR35" s="1563"/>
      <c r="BS35" s="672"/>
      <c r="BT35" s="982"/>
      <c r="BU35" s="983"/>
      <c r="BV35" s="1625"/>
      <c r="BW35" s="982"/>
      <c r="BX35" s="983"/>
      <c r="BY35" s="1569"/>
      <c r="BZ35" s="1570"/>
      <c r="CA35" s="1617" t="str">
        <f>IF(ISERROR(DE35),"",IF(DE35="","",IF(VLOOKUP(BS35,SectInfo!$B:$N,10,FALSE)="","","X")))</f>
        <v/>
      </c>
      <c r="CB35" s="1561"/>
      <c r="CC35" s="1562" t="str">
        <f t="shared" si="17"/>
        <v/>
      </c>
      <c r="CD35" s="1563"/>
      <c r="CE35" s="1574"/>
      <c r="CF35" s="736"/>
      <c r="CG35" s="737"/>
      <c r="CH35" s="643" t="str">
        <f t="shared" si="18"/>
        <v/>
      </c>
      <c r="CI35" s="644" t="str">
        <f t="shared" si="19"/>
        <v/>
      </c>
      <c r="CJ35" s="645" t="str">
        <f t="shared" si="20"/>
        <v/>
      </c>
      <c r="CK35" s="852" t="str">
        <f t="shared" si="21"/>
        <v/>
      </c>
      <c r="CL35" s="847" t="str">
        <f t="shared" si="22"/>
        <v/>
      </c>
      <c r="CM35" s="848" t="str">
        <f t="shared" si="23"/>
        <v/>
      </c>
      <c r="CN35" s="611" t="str">
        <f t="shared" si="24"/>
        <v/>
      </c>
      <c r="CO35" s="612" t="str">
        <f t="shared" si="25"/>
        <v/>
      </c>
      <c r="CP35" s="615" t="str">
        <f t="shared" si="26"/>
        <v/>
      </c>
      <c r="CQ35" s="616" t="str">
        <f t="shared" si="27"/>
        <v/>
      </c>
      <c r="CR35" s="750">
        <f t="shared" si="28"/>
        <v>5</v>
      </c>
      <c r="CS35" s="751">
        <f t="shared" si="29"/>
        <v>5</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0"/>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1"/>
        <v>0</v>
      </c>
      <c r="DO35" s="818">
        <f t="shared" si="32"/>
        <v>0</v>
      </c>
      <c r="DP35" s="822" t="str">
        <f t="shared" si="33"/>
        <v/>
      </c>
      <c r="DQ35" s="822" t="str">
        <f t="shared" si="34"/>
        <v/>
      </c>
      <c r="DR35" s="822" t="str">
        <f t="shared" si="35"/>
        <v/>
      </c>
      <c r="DS35" s="821">
        <f t="shared" si="36"/>
        <v>0</v>
      </c>
      <c r="DT35" s="821">
        <f t="shared" si="37"/>
        <v>0</v>
      </c>
      <c r="DU35" s="821" t="str">
        <f t="shared" si="38"/>
        <v/>
      </c>
      <c r="DV35" s="822" t="str">
        <f t="shared" si="39"/>
        <v/>
      </c>
      <c r="DW35" s="856" t="str">
        <f t="shared" si="40"/>
        <v/>
      </c>
      <c r="DX35" s="1006">
        <f t="shared" si="100"/>
        <v>0</v>
      </c>
      <c r="DY35" s="822">
        <f t="shared" si="41"/>
        <v>0</v>
      </c>
      <c r="DZ35" s="821">
        <f t="shared" si="42"/>
        <v>0</v>
      </c>
      <c r="EA35" s="821" t="str">
        <f t="shared" si="43"/>
        <v/>
      </c>
      <c r="EB35" s="822" t="str">
        <f t="shared" si="101"/>
        <v/>
      </c>
      <c r="EC35" s="856" t="str">
        <f t="shared" si="44"/>
        <v/>
      </c>
      <c r="ED35" s="1006">
        <f t="shared" si="102"/>
        <v>0</v>
      </c>
      <c r="EE35" s="1293" t="str">
        <f t="shared" si="45"/>
        <v/>
      </c>
      <c r="EF35" s="822" t="str">
        <f t="shared" si="103"/>
        <v/>
      </c>
      <c r="EG35" s="822" t="str">
        <f t="shared" si="104"/>
        <v/>
      </c>
      <c r="EH35" s="856" t="str">
        <f t="shared" si="46"/>
        <v>ERR</v>
      </c>
      <c r="EI35" s="856" t="str">
        <f t="shared" si="47"/>
        <v>ERR</v>
      </c>
      <c r="EJ35" s="822" t="str">
        <f t="shared" si="48"/>
        <v/>
      </c>
      <c r="EK35" s="822" t="str">
        <f t="shared" si="48"/>
        <v/>
      </c>
      <c r="EL35" s="1293" t="str">
        <f t="shared" si="49"/>
        <v/>
      </c>
      <c r="EM35" s="822" t="str">
        <f t="shared" si="105"/>
        <v/>
      </c>
      <c r="EN35" s="822" t="str">
        <f t="shared" si="106"/>
        <v/>
      </c>
      <c r="EO35" s="856" t="str">
        <f t="shared" si="50"/>
        <v>ERR</v>
      </c>
      <c r="EP35" s="856" t="str">
        <f t="shared" si="51"/>
        <v>ERR</v>
      </c>
      <c r="EQ35" s="822" t="str">
        <f t="shared" si="52"/>
        <v/>
      </c>
      <c r="ER35" s="822" t="str">
        <f t="shared" si="52"/>
        <v/>
      </c>
      <c r="ES35" s="822" t="str">
        <f t="shared" si="53"/>
        <v/>
      </c>
      <c r="ET35" s="822" t="str">
        <f t="shared" si="54"/>
        <v/>
      </c>
      <c r="EU35" s="829">
        <f t="shared" si="55"/>
        <v>4</v>
      </c>
      <c r="EV35" s="824" t="str">
        <f t="shared" si="10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56"/>
        <v/>
      </c>
      <c r="FA35" s="829" t="str">
        <f>IF(AND(DE35="G", ISBLANK(BW35), ISBLANK(BX35)),VLOOKUP(MIN(BT35:BU35),TblJoistSize!$M$3:$N$10,2),IF(OR(DE35="B", DE35="G"),MIN(BW35:BX35),""))</f>
        <v/>
      </c>
      <c r="FB35" s="829" t="str">
        <f>IF(AND(DE35="G", ISBLANK(BW35), ISBLANK(BX35)),VLOOKUP(MAX(BT35:BU35),TblJoistSize!$M$3:$N$10,2),IF(OR(DE35="B", DE35="G"),MAX(BW35:BX35),""))</f>
        <v/>
      </c>
      <c r="FC35" s="829" t="str">
        <f t="shared" si="57"/>
        <v/>
      </c>
      <c r="FD35" s="822">
        <f t="shared" si="58"/>
        <v>0</v>
      </c>
      <c r="FE35" s="822">
        <f t="shared" si="59"/>
        <v>0</v>
      </c>
      <c r="FF35" s="821">
        <f t="shared" si="60"/>
        <v>0</v>
      </c>
      <c r="FG35" s="821" t="str">
        <f t="shared" si="61"/>
        <v/>
      </c>
      <c r="FH35" s="822" t="str">
        <f t="shared" si="62"/>
        <v/>
      </c>
      <c r="FI35" s="822">
        <f t="shared" si="63"/>
        <v>0</v>
      </c>
      <c r="FJ35" s="822">
        <f t="shared" si="64"/>
        <v>0</v>
      </c>
      <c r="FK35" s="821">
        <f t="shared" si="65"/>
        <v>0</v>
      </c>
      <c r="FL35" s="821" t="str">
        <f t="shared" si="66"/>
        <v/>
      </c>
      <c r="FM35" s="822" t="str">
        <f t="shared" si="67"/>
        <v/>
      </c>
      <c r="FN35" s="822" t="e">
        <f t="shared" si="68"/>
        <v>#VALUE!</v>
      </c>
      <c r="FO35" s="940" t="e">
        <f t="shared" si="69"/>
        <v>#VALUE!</v>
      </c>
      <c r="FP35" s="940" t="e">
        <f t="shared" si="70"/>
        <v>#VALUE!</v>
      </c>
      <c r="FQ35" s="830" t="e">
        <f t="shared" si="71"/>
        <v>#VALUE!</v>
      </c>
      <c r="FR35" s="831" t="e">
        <f t="shared" si="72"/>
        <v>#VALUE!</v>
      </c>
      <c r="FS35" s="832" t="str">
        <f t="shared" si="73"/>
        <v/>
      </c>
      <c r="FT35" s="833" t="str">
        <f t="shared" si="74"/>
        <v/>
      </c>
      <c r="FU35" s="870">
        <f t="shared" si="75"/>
        <v>0</v>
      </c>
      <c r="FV35" s="871">
        <f t="shared" si="76"/>
        <v>0</v>
      </c>
      <c r="GA35" s="1791">
        <v>39</v>
      </c>
      <c r="GB35" s="1792">
        <v>3</v>
      </c>
      <c r="GC35" s="1793">
        <v>-0.25</v>
      </c>
      <c r="GD35" s="1794">
        <v>-0.5</v>
      </c>
      <c r="GE35" s="1795">
        <f t="shared" si="77"/>
        <v>0</v>
      </c>
      <c r="GF35" s="600" t="str">
        <f t="shared" si="78"/>
        <v>J13</v>
      </c>
      <c r="GG35" s="1130">
        <v>0</v>
      </c>
      <c r="GH35" s="1131">
        <v>0</v>
      </c>
      <c r="GI35" s="1130"/>
      <c r="GJ35" s="1131"/>
      <c r="GK35" s="1636">
        <f t="shared" si="79"/>
        <v>470.25</v>
      </c>
      <c r="GL35" s="1636">
        <f t="shared" si="80"/>
        <v>470.25</v>
      </c>
      <c r="GM35" s="1637">
        <f>IF(ABS(GK35-GL35)&gt;='Job Info.'!$L$22,ABS(GK35-GL35),0)</f>
        <v>0</v>
      </c>
      <c r="GZ35" s="415"/>
      <c r="HA35" s="1391" t="s">
        <v>1443</v>
      </c>
      <c r="HB35" s="1392">
        <v>1</v>
      </c>
      <c r="HC35" s="1392" t="s">
        <v>1592</v>
      </c>
      <c r="HD35" s="1393">
        <v>39</v>
      </c>
      <c r="HE35" s="1394">
        <v>2.25</v>
      </c>
      <c r="HF35" s="1392" t="s">
        <v>116</v>
      </c>
      <c r="HG35" s="1392" t="s">
        <v>116</v>
      </c>
      <c r="HH35" s="1392" t="s">
        <v>116</v>
      </c>
      <c r="HI35" s="1395" t="s">
        <v>116</v>
      </c>
      <c r="HJ35" s="1392" t="s">
        <v>116</v>
      </c>
      <c r="HK35" s="1392" t="s">
        <v>116</v>
      </c>
      <c r="HL35" s="1392">
        <v>5</v>
      </c>
      <c r="HM35" s="1392">
        <v>5</v>
      </c>
      <c r="HN35" s="1392" t="s">
        <v>116</v>
      </c>
      <c r="HO35" s="1392" t="s">
        <v>116</v>
      </c>
      <c r="HP35" s="1392" t="s">
        <v>116</v>
      </c>
      <c r="HQ35" s="1395" t="s">
        <v>116</v>
      </c>
      <c r="HR35" s="1392" t="s">
        <v>116</v>
      </c>
      <c r="HS35" s="1392" t="s">
        <v>116</v>
      </c>
      <c r="HT35" s="1392">
        <v>0</v>
      </c>
      <c r="HU35" s="1392">
        <v>2.25</v>
      </c>
      <c r="HV35" s="1392">
        <v>0</v>
      </c>
      <c r="HW35" s="1394">
        <v>2</v>
      </c>
      <c r="HX35" s="1394">
        <v>4</v>
      </c>
      <c r="HY35" s="1394" t="s">
        <v>116</v>
      </c>
      <c r="HZ35" s="1394" t="s">
        <v>116</v>
      </c>
      <c r="IA35" s="1394" t="s">
        <v>1656</v>
      </c>
      <c r="IB35" s="1394"/>
      <c r="IC35" s="1394"/>
      <c r="ID35" s="1394"/>
      <c r="IE35" s="1394"/>
      <c r="IF35" s="1396"/>
    </row>
    <row r="36" spans="1:240" ht="12.6" customHeight="1" x14ac:dyDescent="0.25">
      <c r="A36" s="1448" t="s">
        <v>1444</v>
      </c>
      <c r="B36" s="1681">
        <v>1</v>
      </c>
      <c r="C36" s="1449" t="s">
        <v>1592</v>
      </c>
      <c r="D36" s="1705">
        <v>39</v>
      </c>
      <c r="E36" s="1778">
        <v>2.25</v>
      </c>
      <c r="F36" s="1708" t="str">
        <f t="shared" si="86"/>
        <v/>
      </c>
      <c r="G36" s="1709" t="str">
        <f t="shared" si="87"/>
        <v/>
      </c>
      <c r="H36" s="1779" t="str">
        <f t="shared" si="88"/>
        <v/>
      </c>
      <c r="I36" s="1705" t="str">
        <f t="shared" si="89"/>
        <v/>
      </c>
      <c r="J36" s="1709" t="str">
        <f t="shared" si="90"/>
        <v/>
      </c>
      <c r="K36" s="1780" t="str">
        <f t="shared" si="91"/>
        <v/>
      </c>
      <c r="L36" s="1712">
        <v>5</v>
      </c>
      <c r="M36" s="1713">
        <v>5</v>
      </c>
      <c r="N36" s="1708" t="str">
        <f t="shared" si="92"/>
        <v/>
      </c>
      <c r="O36" s="1709" t="str">
        <f t="shared" si="93"/>
        <v/>
      </c>
      <c r="P36" s="1710" t="str">
        <f t="shared" si="94"/>
        <v/>
      </c>
      <c r="Q36" s="1705" t="str">
        <f t="shared" si="95"/>
        <v/>
      </c>
      <c r="R36" s="1709" t="str">
        <f t="shared" si="96"/>
        <v/>
      </c>
      <c r="S36" s="1753" t="str">
        <f t="shared" si="97"/>
        <v/>
      </c>
      <c r="T36" s="1708">
        <v>0</v>
      </c>
      <c r="U36" s="1709">
        <v>2.25</v>
      </c>
      <c r="V36" s="1705">
        <v>0</v>
      </c>
      <c r="W36" s="1709">
        <v>2</v>
      </c>
      <c r="X36" s="1750">
        <v>4</v>
      </c>
      <c r="Y36" s="1781" t="str">
        <f t="shared" si="98"/>
        <v/>
      </c>
      <c r="Z36" s="1782" t="str">
        <f t="shared" si="99"/>
        <v/>
      </c>
      <c r="AA36" s="1783" t="s">
        <v>1718</v>
      </c>
      <c r="AB36" s="1413"/>
      <c r="AC36" s="964" t="b">
        <v>0</v>
      </c>
      <c r="AD36" s="441">
        <f t="shared" si="1"/>
        <v>0</v>
      </c>
      <c r="AE36" s="442">
        <f t="shared" si="2"/>
        <v>1</v>
      </c>
      <c r="AF36" s="442">
        <f t="shared" si="3"/>
        <v>0</v>
      </c>
      <c r="AG36" s="442">
        <f t="shared" si="4"/>
        <v>0</v>
      </c>
      <c r="AH36" s="443">
        <f t="shared" si="5"/>
        <v>0</v>
      </c>
      <c r="AI36" s="444" t="b">
        <v>0</v>
      </c>
      <c r="AJ36" s="238">
        <f t="shared" si="108"/>
        <v>32</v>
      </c>
      <c r="AK36" s="238" t="str">
        <f t="shared" si="6"/>
        <v>LH</v>
      </c>
      <c r="AL36" s="1290" t="str">
        <f t="shared" si="7"/>
        <v/>
      </c>
      <c r="AM36" s="238">
        <f t="shared" si="8"/>
        <v>305</v>
      </c>
      <c r="AN36" s="238">
        <f t="shared" si="9"/>
        <v>180</v>
      </c>
      <c r="AO36" s="238" t="str">
        <f t="shared" si="10"/>
        <v/>
      </c>
      <c r="AP36" s="830" t="b">
        <f>IF(ISERROR(AJ36),FALSE,IF(OR(AJ36=0,ISERROR(AL36),ISERROR(AM36),ISERROR(AN36),ISERROR(AO36)),FALSE,IF(AL36&lt;&gt;"",IF(ISERROR(VLOOKUP(SUBSTITUTE(SUBSTITUTE(C36,"R",""),"A",""),TblJoistSize!$A:$A,1,FALSE)),FALSE,TRUE),TRUE)))</f>
        <v>1</v>
      </c>
      <c r="AQ36" s="1038">
        <f t="shared" si="11"/>
        <v>6</v>
      </c>
      <c r="AR36" s="945" t="b">
        <f t="shared" si="83"/>
        <v>1</v>
      </c>
      <c r="AS36" s="1038">
        <f t="shared" si="12"/>
        <v>6</v>
      </c>
      <c r="AT36" s="945" t="b">
        <f t="shared" si="84"/>
        <v>1</v>
      </c>
      <c r="AU36" s="1291" t="str">
        <f t="shared" si="13"/>
        <v>LH</v>
      </c>
      <c r="AV36" s="830" t="str">
        <f t="shared" si="14"/>
        <v/>
      </c>
      <c r="AW36" s="830" t="str">
        <f t="shared" si="81"/>
        <v>LH</v>
      </c>
      <c r="AX36" s="830" t="str">
        <f t="shared" si="85"/>
        <v>J14</v>
      </c>
      <c r="AY36" s="464" t="b">
        <f t="shared" si="15"/>
        <v>0</v>
      </c>
      <c r="AZ36" s="856" t="b">
        <f t="shared" si="82"/>
        <v>0</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16"/>
        <v/>
      </c>
      <c r="BR36" s="1563"/>
      <c r="BS36" s="672"/>
      <c r="BT36" s="982"/>
      <c r="BU36" s="983"/>
      <c r="BV36" s="1625"/>
      <c r="BW36" s="982"/>
      <c r="BX36" s="983"/>
      <c r="BY36" s="1569"/>
      <c r="BZ36" s="1570"/>
      <c r="CA36" s="1617" t="str">
        <f>IF(ISERROR(DE36),"",IF(DE36="","",IF(VLOOKUP(BS36,SectInfo!$B:$N,10,FALSE)="","","X")))</f>
        <v/>
      </c>
      <c r="CB36" s="1561"/>
      <c r="CC36" s="1562" t="str">
        <f t="shared" si="17"/>
        <v/>
      </c>
      <c r="CD36" s="1563"/>
      <c r="CE36" s="1574"/>
      <c r="CF36" s="736"/>
      <c r="CG36" s="737"/>
      <c r="CH36" s="643" t="str">
        <f t="shared" si="18"/>
        <v/>
      </c>
      <c r="CI36" s="644" t="str">
        <f t="shared" si="19"/>
        <v/>
      </c>
      <c r="CJ36" s="645" t="str">
        <f t="shared" si="20"/>
        <v/>
      </c>
      <c r="CK36" s="852" t="str">
        <f t="shared" si="21"/>
        <v/>
      </c>
      <c r="CL36" s="847" t="str">
        <f t="shared" si="22"/>
        <v/>
      </c>
      <c r="CM36" s="848" t="str">
        <f t="shared" si="23"/>
        <v/>
      </c>
      <c r="CN36" s="611" t="str">
        <f t="shared" si="24"/>
        <v/>
      </c>
      <c r="CO36" s="612" t="str">
        <f t="shared" si="25"/>
        <v/>
      </c>
      <c r="CP36" s="615" t="str">
        <f t="shared" si="26"/>
        <v/>
      </c>
      <c r="CQ36" s="616" t="str">
        <f t="shared" si="27"/>
        <v/>
      </c>
      <c r="CR36" s="750">
        <f t="shared" si="28"/>
        <v>5</v>
      </c>
      <c r="CS36" s="751">
        <f t="shared" si="29"/>
        <v>5</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0"/>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1"/>
        <v>0</v>
      </c>
      <c r="DO36" s="818">
        <f t="shared" si="32"/>
        <v>0</v>
      </c>
      <c r="DP36" s="822" t="str">
        <f t="shared" si="33"/>
        <v/>
      </c>
      <c r="DQ36" s="822" t="str">
        <f t="shared" si="34"/>
        <v/>
      </c>
      <c r="DR36" s="822" t="str">
        <f t="shared" si="35"/>
        <v/>
      </c>
      <c r="DS36" s="821">
        <f t="shared" si="36"/>
        <v>0</v>
      </c>
      <c r="DT36" s="821">
        <f t="shared" si="37"/>
        <v>0</v>
      </c>
      <c r="DU36" s="821" t="str">
        <f t="shared" si="38"/>
        <v/>
      </c>
      <c r="DV36" s="822" t="str">
        <f t="shared" si="39"/>
        <v/>
      </c>
      <c r="DW36" s="856" t="str">
        <f t="shared" si="40"/>
        <v/>
      </c>
      <c r="DX36" s="1006">
        <f t="shared" si="100"/>
        <v>0</v>
      </c>
      <c r="DY36" s="822">
        <f t="shared" si="41"/>
        <v>0</v>
      </c>
      <c r="DZ36" s="821">
        <f t="shared" si="42"/>
        <v>0</v>
      </c>
      <c r="EA36" s="821" t="str">
        <f t="shared" si="43"/>
        <v/>
      </c>
      <c r="EB36" s="822" t="str">
        <f t="shared" si="101"/>
        <v/>
      </c>
      <c r="EC36" s="856" t="str">
        <f t="shared" si="44"/>
        <v/>
      </c>
      <c r="ED36" s="1006">
        <f t="shared" si="102"/>
        <v>0</v>
      </c>
      <c r="EE36" s="1293" t="str">
        <f t="shared" si="45"/>
        <v/>
      </c>
      <c r="EF36" s="822" t="str">
        <f t="shared" si="103"/>
        <v/>
      </c>
      <c r="EG36" s="822" t="str">
        <f t="shared" si="104"/>
        <v/>
      </c>
      <c r="EH36" s="856" t="str">
        <f t="shared" si="46"/>
        <v>ERR</v>
      </c>
      <c r="EI36" s="856" t="str">
        <f t="shared" si="47"/>
        <v>ERR</v>
      </c>
      <c r="EJ36" s="822" t="str">
        <f t="shared" si="48"/>
        <v/>
      </c>
      <c r="EK36" s="822" t="str">
        <f t="shared" si="48"/>
        <v/>
      </c>
      <c r="EL36" s="1293" t="str">
        <f t="shared" si="49"/>
        <v/>
      </c>
      <c r="EM36" s="822" t="str">
        <f t="shared" si="105"/>
        <v/>
      </c>
      <c r="EN36" s="822" t="str">
        <f t="shared" si="106"/>
        <v/>
      </c>
      <c r="EO36" s="856" t="str">
        <f t="shared" si="50"/>
        <v>ERR</v>
      </c>
      <c r="EP36" s="856" t="str">
        <f t="shared" si="51"/>
        <v>ERR</v>
      </c>
      <c r="EQ36" s="822" t="str">
        <f t="shared" si="52"/>
        <v/>
      </c>
      <c r="ER36" s="822" t="str">
        <f t="shared" si="52"/>
        <v/>
      </c>
      <c r="ES36" s="822" t="str">
        <f t="shared" si="53"/>
        <v/>
      </c>
      <c r="ET36" s="822" t="str">
        <f t="shared" si="54"/>
        <v/>
      </c>
      <c r="EU36" s="829">
        <f t="shared" si="55"/>
        <v>4</v>
      </c>
      <c r="EV36" s="824" t="str">
        <f t="shared" si="10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56"/>
        <v/>
      </c>
      <c r="FA36" s="829" t="str">
        <f>IF(AND(DE36="G", ISBLANK(BW36), ISBLANK(BX36)),VLOOKUP(MIN(BT36:BU36),TblJoistSize!$M$3:$N$10,2),IF(OR(DE36="B", DE36="G"),MIN(BW36:BX36),""))</f>
        <v/>
      </c>
      <c r="FB36" s="829" t="str">
        <f>IF(AND(DE36="G", ISBLANK(BW36), ISBLANK(BX36)),VLOOKUP(MAX(BT36:BU36),TblJoistSize!$M$3:$N$10,2),IF(OR(DE36="B", DE36="G"),MAX(BW36:BX36),""))</f>
        <v/>
      </c>
      <c r="FC36" s="829" t="str">
        <f t="shared" si="57"/>
        <v/>
      </c>
      <c r="FD36" s="822">
        <f t="shared" si="58"/>
        <v>0</v>
      </c>
      <c r="FE36" s="822">
        <f t="shared" si="59"/>
        <v>0</v>
      </c>
      <c r="FF36" s="821">
        <f t="shared" si="60"/>
        <v>0</v>
      </c>
      <c r="FG36" s="821" t="str">
        <f t="shared" si="61"/>
        <v/>
      </c>
      <c r="FH36" s="822" t="str">
        <f t="shared" si="62"/>
        <v/>
      </c>
      <c r="FI36" s="822">
        <f t="shared" si="63"/>
        <v>0</v>
      </c>
      <c r="FJ36" s="822">
        <f t="shared" si="64"/>
        <v>0</v>
      </c>
      <c r="FK36" s="821">
        <f t="shared" si="65"/>
        <v>0</v>
      </c>
      <c r="FL36" s="821" t="str">
        <f t="shared" si="66"/>
        <v/>
      </c>
      <c r="FM36" s="822" t="str">
        <f t="shared" si="67"/>
        <v/>
      </c>
      <c r="FN36" s="822" t="e">
        <f t="shared" si="68"/>
        <v>#VALUE!</v>
      </c>
      <c r="FO36" s="940" t="e">
        <f t="shared" si="69"/>
        <v>#VALUE!</v>
      </c>
      <c r="FP36" s="940" t="e">
        <f t="shared" si="70"/>
        <v>#VALUE!</v>
      </c>
      <c r="FQ36" s="830" t="e">
        <f t="shared" si="71"/>
        <v>#VALUE!</v>
      </c>
      <c r="FR36" s="831" t="e">
        <f t="shared" si="72"/>
        <v>#VALUE!</v>
      </c>
      <c r="FS36" s="832" t="str">
        <f t="shared" si="73"/>
        <v/>
      </c>
      <c r="FT36" s="833" t="str">
        <f t="shared" si="74"/>
        <v/>
      </c>
      <c r="FU36" s="870">
        <f t="shared" si="75"/>
        <v>0</v>
      </c>
      <c r="FV36" s="871">
        <f t="shared" si="76"/>
        <v>0</v>
      </c>
      <c r="GA36" s="1791">
        <v>39</v>
      </c>
      <c r="GB36" s="1792">
        <v>3</v>
      </c>
      <c r="GC36" s="1793">
        <v>-0.25</v>
      </c>
      <c r="GD36" s="1794">
        <v>-0.5</v>
      </c>
      <c r="GE36" s="1795">
        <f t="shared" si="77"/>
        <v>0</v>
      </c>
      <c r="GF36" s="600" t="str">
        <f t="shared" si="78"/>
        <v>J14</v>
      </c>
      <c r="GG36" s="1130">
        <v>0</v>
      </c>
      <c r="GH36" s="1131">
        <v>0</v>
      </c>
      <c r="GI36" s="1130"/>
      <c r="GJ36" s="1131"/>
      <c r="GK36" s="1636">
        <f t="shared" si="79"/>
        <v>470.25</v>
      </c>
      <c r="GL36" s="1636">
        <f t="shared" si="80"/>
        <v>470.25</v>
      </c>
      <c r="GM36" s="1637">
        <f>IF(ABS(GK36-GL36)&gt;='Job Info.'!$L$22,ABS(GK36-GL36),0)</f>
        <v>0</v>
      </c>
      <c r="GZ36" s="415"/>
      <c r="HA36" s="1391" t="s">
        <v>1444</v>
      </c>
      <c r="HB36" s="1392">
        <v>1</v>
      </c>
      <c r="HC36" s="1392" t="s">
        <v>1592</v>
      </c>
      <c r="HD36" s="1393">
        <v>39</v>
      </c>
      <c r="HE36" s="1394">
        <v>2.25</v>
      </c>
      <c r="HF36" s="1392" t="s">
        <v>116</v>
      </c>
      <c r="HG36" s="1392" t="s">
        <v>116</v>
      </c>
      <c r="HH36" s="1392" t="s">
        <v>116</v>
      </c>
      <c r="HI36" s="1395" t="s">
        <v>116</v>
      </c>
      <c r="HJ36" s="1392" t="s">
        <v>116</v>
      </c>
      <c r="HK36" s="1392" t="s">
        <v>116</v>
      </c>
      <c r="HL36" s="1392">
        <v>5</v>
      </c>
      <c r="HM36" s="1392">
        <v>5</v>
      </c>
      <c r="HN36" s="1392" t="s">
        <v>116</v>
      </c>
      <c r="HO36" s="1392" t="s">
        <v>116</v>
      </c>
      <c r="HP36" s="1392" t="s">
        <v>116</v>
      </c>
      <c r="HQ36" s="1395" t="s">
        <v>116</v>
      </c>
      <c r="HR36" s="1392" t="s">
        <v>116</v>
      </c>
      <c r="HS36" s="1392" t="s">
        <v>116</v>
      </c>
      <c r="HT36" s="1392">
        <v>0</v>
      </c>
      <c r="HU36" s="1392">
        <v>2.25</v>
      </c>
      <c r="HV36" s="1392">
        <v>0</v>
      </c>
      <c r="HW36" s="1394">
        <v>2</v>
      </c>
      <c r="HX36" s="1394">
        <v>4</v>
      </c>
      <c r="HY36" s="1394" t="s">
        <v>116</v>
      </c>
      <c r="HZ36" s="1394" t="s">
        <v>116</v>
      </c>
      <c r="IA36" s="1394" t="s">
        <v>1657</v>
      </c>
      <c r="IB36" s="1394"/>
      <c r="IC36" s="1394"/>
      <c r="ID36" s="1394"/>
      <c r="IE36" s="1394"/>
      <c r="IF36" s="1396"/>
    </row>
    <row r="37" spans="1:240" ht="12.6" customHeight="1" x14ac:dyDescent="0.25">
      <c r="A37" s="1448" t="s">
        <v>1445</v>
      </c>
      <c r="B37" s="1681">
        <v>1</v>
      </c>
      <c r="C37" s="1449" t="s">
        <v>1592</v>
      </c>
      <c r="D37" s="1705">
        <v>39</v>
      </c>
      <c r="E37" s="1778">
        <v>2.25</v>
      </c>
      <c r="F37" s="1708" t="str">
        <f t="shared" si="86"/>
        <v/>
      </c>
      <c r="G37" s="1709" t="str">
        <f t="shared" si="87"/>
        <v/>
      </c>
      <c r="H37" s="1779" t="str">
        <f t="shared" si="88"/>
        <v/>
      </c>
      <c r="I37" s="1705" t="str">
        <f t="shared" si="89"/>
        <v/>
      </c>
      <c r="J37" s="1709" t="str">
        <f t="shared" si="90"/>
        <v/>
      </c>
      <c r="K37" s="1780" t="str">
        <f t="shared" si="91"/>
        <v/>
      </c>
      <c r="L37" s="1712">
        <v>5</v>
      </c>
      <c r="M37" s="1713">
        <v>5</v>
      </c>
      <c r="N37" s="1708" t="str">
        <f t="shared" si="92"/>
        <v/>
      </c>
      <c r="O37" s="1709" t="str">
        <f t="shared" si="93"/>
        <v/>
      </c>
      <c r="P37" s="1710" t="str">
        <f t="shared" si="94"/>
        <v/>
      </c>
      <c r="Q37" s="1705" t="str">
        <f t="shared" si="95"/>
        <v/>
      </c>
      <c r="R37" s="1709" t="str">
        <f t="shared" si="96"/>
        <v/>
      </c>
      <c r="S37" s="1753" t="str">
        <f t="shared" si="97"/>
        <v/>
      </c>
      <c r="T37" s="1708">
        <v>0</v>
      </c>
      <c r="U37" s="1709">
        <v>2.25</v>
      </c>
      <c r="V37" s="1705">
        <v>0</v>
      </c>
      <c r="W37" s="1709">
        <v>2</v>
      </c>
      <c r="X37" s="1750">
        <v>4</v>
      </c>
      <c r="Y37" s="1781" t="str">
        <f t="shared" si="98"/>
        <v/>
      </c>
      <c r="Z37" s="1782" t="str">
        <f t="shared" si="99"/>
        <v/>
      </c>
      <c r="AA37" s="1783" t="s">
        <v>1719</v>
      </c>
      <c r="AB37" s="1413"/>
      <c r="AC37" s="964" t="b">
        <v>0</v>
      </c>
      <c r="AD37" s="441">
        <f t="shared" si="1"/>
        <v>0</v>
      </c>
      <c r="AE37" s="442">
        <f t="shared" si="2"/>
        <v>1</v>
      </c>
      <c r="AF37" s="442">
        <f t="shared" si="3"/>
        <v>0</v>
      </c>
      <c r="AG37" s="442">
        <f t="shared" si="4"/>
        <v>0</v>
      </c>
      <c r="AH37" s="443">
        <f t="shared" si="5"/>
        <v>0</v>
      </c>
      <c r="AI37" s="444" t="b">
        <v>0</v>
      </c>
      <c r="AJ37" s="238">
        <f t="shared" si="108"/>
        <v>32</v>
      </c>
      <c r="AK37" s="238" t="str">
        <f t="shared" si="6"/>
        <v>LH</v>
      </c>
      <c r="AL37" s="1290" t="str">
        <f t="shared" si="7"/>
        <v/>
      </c>
      <c r="AM37" s="238">
        <f t="shared" si="8"/>
        <v>305</v>
      </c>
      <c r="AN37" s="238">
        <f t="shared" si="9"/>
        <v>180</v>
      </c>
      <c r="AO37" s="238" t="str">
        <f t="shared" si="10"/>
        <v/>
      </c>
      <c r="AP37" s="830" t="b">
        <f>IF(ISERROR(AJ37),FALSE,IF(OR(AJ37=0,ISERROR(AL37),ISERROR(AM37),ISERROR(AN37),ISERROR(AO37)),FALSE,IF(AL37&lt;&gt;"",IF(ISERROR(VLOOKUP(SUBSTITUTE(SUBSTITUTE(C37,"R",""),"A",""),TblJoistSize!$A:$A,1,FALSE)),FALSE,TRUE),TRUE)))</f>
        <v>1</v>
      </c>
      <c r="AQ37" s="1038">
        <f t="shared" si="11"/>
        <v>6</v>
      </c>
      <c r="AR37" s="945" t="b">
        <f t="shared" si="83"/>
        <v>1</v>
      </c>
      <c r="AS37" s="1038">
        <f t="shared" si="12"/>
        <v>6</v>
      </c>
      <c r="AT37" s="945" t="b">
        <f t="shared" si="84"/>
        <v>1</v>
      </c>
      <c r="AU37" s="1291" t="str">
        <f t="shared" si="13"/>
        <v>LH</v>
      </c>
      <c r="AV37" s="830" t="str">
        <f t="shared" si="14"/>
        <v/>
      </c>
      <c r="AW37" s="830" t="str">
        <f t="shared" si="81"/>
        <v>LH</v>
      </c>
      <c r="AX37" s="830" t="str">
        <f t="shared" si="85"/>
        <v>J15</v>
      </c>
      <c r="AY37" s="464" t="b">
        <f t="shared" si="15"/>
        <v>0</v>
      </c>
      <c r="AZ37" s="856" t="b">
        <f t="shared" si="82"/>
        <v>0</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16"/>
        <v/>
      </c>
      <c r="BR37" s="1563"/>
      <c r="BS37" s="672"/>
      <c r="BT37" s="982"/>
      <c r="BU37" s="983"/>
      <c r="BV37" s="1625"/>
      <c r="BW37" s="982"/>
      <c r="BX37" s="983"/>
      <c r="BY37" s="1569"/>
      <c r="BZ37" s="1570"/>
      <c r="CA37" s="1617" t="str">
        <f>IF(ISERROR(DE37),"",IF(DE37="","",IF(VLOOKUP(BS37,SectInfo!$B:$N,10,FALSE)="","","X")))</f>
        <v/>
      </c>
      <c r="CB37" s="1561"/>
      <c r="CC37" s="1562" t="str">
        <f t="shared" si="17"/>
        <v/>
      </c>
      <c r="CD37" s="1563"/>
      <c r="CE37" s="1574"/>
      <c r="CF37" s="736"/>
      <c r="CG37" s="737"/>
      <c r="CH37" s="643" t="str">
        <f t="shared" si="18"/>
        <v/>
      </c>
      <c r="CI37" s="644" t="str">
        <f t="shared" si="19"/>
        <v/>
      </c>
      <c r="CJ37" s="645" t="str">
        <f t="shared" si="20"/>
        <v/>
      </c>
      <c r="CK37" s="852" t="str">
        <f t="shared" si="21"/>
        <v/>
      </c>
      <c r="CL37" s="847" t="str">
        <f t="shared" si="22"/>
        <v/>
      </c>
      <c r="CM37" s="848" t="str">
        <f t="shared" si="23"/>
        <v/>
      </c>
      <c r="CN37" s="611" t="str">
        <f t="shared" si="24"/>
        <v/>
      </c>
      <c r="CO37" s="612" t="str">
        <f t="shared" si="25"/>
        <v/>
      </c>
      <c r="CP37" s="615" t="str">
        <f t="shared" si="26"/>
        <v/>
      </c>
      <c r="CQ37" s="616" t="str">
        <f t="shared" si="27"/>
        <v/>
      </c>
      <c r="CR37" s="750">
        <f t="shared" si="28"/>
        <v>5</v>
      </c>
      <c r="CS37" s="751">
        <f t="shared" si="29"/>
        <v>5</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0"/>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1"/>
        <v>0</v>
      </c>
      <c r="DO37" s="818">
        <f t="shared" si="32"/>
        <v>0</v>
      </c>
      <c r="DP37" s="822" t="str">
        <f t="shared" si="33"/>
        <v/>
      </c>
      <c r="DQ37" s="822" t="str">
        <f t="shared" si="34"/>
        <v/>
      </c>
      <c r="DR37" s="822" t="str">
        <f t="shared" si="35"/>
        <v/>
      </c>
      <c r="DS37" s="821">
        <f t="shared" si="36"/>
        <v>0</v>
      </c>
      <c r="DT37" s="821">
        <f t="shared" si="37"/>
        <v>0</v>
      </c>
      <c r="DU37" s="821" t="str">
        <f t="shared" si="38"/>
        <v/>
      </c>
      <c r="DV37" s="822" t="str">
        <f t="shared" si="39"/>
        <v/>
      </c>
      <c r="DW37" s="856" t="str">
        <f t="shared" si="40"/>
        <v/>
      </c>
      <c r="DX37" s="1006">
        <f t="shared" si="100"/>
        <v>0</v>
      </c>
      <c r="DY37" s="822">
        <f t="shared" si="41"/>
        <v>0</v>
      </c>
      <c r="DZ37" s="821">
        <f t="shared" si="42"/>
        <v>0</v>
      </c>
      <c r="EA37" s="821" t="str">
        <f t="shared" si="43"/>
        <v/>
      </c>
      <c r="EB37" s="822" t="str">
        <f t="shared" si="101"/>
        <v/>
      </c>
      <c r="EC37" s="856" t="str">
        <f t="shared" si="44"/>
        <v/>
      </c>
      <c r="ED37" s="1006">
        <f t="shared" si="102"/>
        <v>0</v>
      </c>
      <c r="EE37" s="1293" t="str">
        <f t="shared" si="45"/>
        <v/>
      </c>
      <c r="EF37" s="822" t="str">
        <f t="shared" si="103"/>
        <v/>
      </c>
      <c r="EG37" s="822" t="str">
        <f t="shared" si="104"/>
        <v/>
      </c>
      <c r="EH37" s="856" t="str">
        <f t="shared" si="46"/>
        <v>ERR</v>
      </c>
      <c r="EI37" s="856" t="str">
        <f t="shared" si="47"/>
        <v>ERR</v>
      </c>
      <c r="EJ37" s="822" t="str">
        <f t="shared" si="48"/>
        <v/>
      </c>
      <c r="EK37" s="822" t="str">
        <f t="shared" si="48"/>
        <v/>
      </c>
      <c r="EL37" s="1293" t="str">
        <f t="shared" si="49"/>
        <v/>
      </c>
      <c r="EM37" s="822" t="str">
        <f t="shared" si="105"/>
        <v/>
      </c>
      <c r="EN37" s="822" t="str">
        <f t="shared" si="106"/>
        <v/>
      </c>
      <c r="EO37" s="856" t="str">
        <f t="shared" si="50"/>
        <v>ERR</v>
      </c>
      <c r="EP37" s="856" t="str">
        <f t="shared" si="51"/>
        <v>ERR</v>
      </c>
      <c r="EQ37" s="822" t="str">
        <f t="shared" si="52"/>
        <v/>
      </c>
      <c r="ER37" s="822" t="str">
        <f t="shared" si="52"/>
        <v/>
      </c>
      <c r="ES37" s="822" t="str">
        <f t="shared" si="53"/>
        <v/>
      </c>
      <c r="ET37" s="822" t="str">
        <f t="shared" si="54"/>
        <v/>
      </c>
      <c r="EU37" s="829">
        <f t="shared" si="55"/>
        <v>4</v>
      </c>
      <c r="EV37" s="824" t="str">
        <f t="shared" si="10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56"/>
        <v/>
      </c>
      <c r="FA37" s="829" t="str">
        <f>IF(AND(DE37="G", ISBLANK(BW37), ISBLANK(BX37)),VLOOKUP(MIN(BT37:BU37),TblJoistSize!$M$3:$N$10,2),IF(OR(DE37="B", DE37="G"),MIN(BW37:BX37),""))</f>
        <v/>
      </c>
      <c r="FB37" s="829" t="str">
        <f>IF(AND(DE37="G", ISBLANK(BW37), ISBLANK(BX37)),VLOOKUP(MAX(BT37:BU37),TblJoistSize!$M$3:$N$10,2),IF(OR(DE37="B", DE37="G"),MAX(BW37:BX37),""))</f>
        <v/>
      </c>
      <c r="FC37" s="829" t="str">
        <f t="shared" si="57"/>
        <v/>
      </c>
      <c r="FD37" s="822">
        <f t="shared" si="58"/>
        <v>0</v>
      </c>
      <c r="FE37" s="822">
        <f t="shared" si="59"/>
        <v>0</v>
      </c>
      <c r="FF37" s="821">
        <f t="shared" si="60"/>
        <v>0</v>
      </c>
      <c r="FG37" s="821" t="str">
        <f t="shared" si="61"/>
        <v/>
      </c>
      <c r="FH37" s="822" t="str">
        <f t="shared" si="62"/>
        <v/>
      </c>
      <c r="FI37" s="822">
        <f t="shared" si="63"/>
        <v>0</v>
      </c>
      <c r="FJ37" s="822">
        <f t="shared" si="64"/>
        <v>0</v>
      </c>
      <c r="FK37" s="821">
        <f t="shared" si="65"/>
        <v>0</v>
      </c>
      <c r="FL37" s="821" t="str">
        <f t="shared" si="66"/>
        <v/>
      </c>
      <c r="FM37" s="822" t="str">
        <f t="shared" si="67"/>
        <v/>
      </c>
      <c r="FN37" s="822" t="e">
        <f t="shared" si="68"/>
        <v>#VALUE!</v>
      </c>
      <c r="FO37" s="940" t="e">
        <f t="shared" si="69"/>
        <v>#VALUE!</v>
      </c>
      <c r="FP37" s="940" t="e">
        <f t="shared" si="70"/>
        <v>#VALUE!</v>
      </c>
      <c r="FQ37" s="830" t="e">
        <f t="shared" si="71"/>
        <v>#VALUE!</v>
      </c>
      <c r="FR37" s="831" t="e">
        <f t="shared" si="72"/>
        <v>#VALUE!</v>
      </c>
      <c r="FS37" s="832" t="str">
        <f t="shared" si="73"/>
        <v/>
      </c>
      <c r="FT37" s="833" t="str">
        <f t="shared" si="74"/>
        <v/>
      </c>
      <c r="FU37" s="870">
        <f t="shared" si="75"/>
        <v>0</v>
      </c>
      <c r="FV37" s="871">
        <f t="shared" si="76"/>
        <v>0</v>
      </c>
      <c r="GA37" s="1791">
        <v>39</v>
      </c>
      <c r="GB37" s="1792">
        <v>3</v>
      </c>
      <c r="GC37" s="1793">
        <v>-0.25</v>
      </c>
      <c r="GD37" s="1794">
        <v>-0.5</v>
      </c>
      <c r="GE37" s="1795">
        <f t="shared" si="77"/>
        <v>0</v>
      </c>
      <c r="GF37" s="600" t="str">
        <f t="shared" si="78"/>
        <v>J15</v>
      </c>
      <c r="GG37" s="1130">
        <v>0</v>
      </c>
      <c r="GH37" s="1131">
        <v>0</v>
      </c>
      <c r="GI37" s="1130"/>
      <c r="GJ37" s="1131"/>
      <c r="GK37" s="1636">
        <f t="shared" si="79"/>
        <v>470.25</v>
      </c>
      <c r="GL37" s="1636">
        <f t="shared" si="80"/>
        <v>470.25</v>
      </c>
      <c r="GM37" s="1637">
        <f>IF(ABS(GK37-GL37)&gt;='Job Info.'!$L$22,ABS(GK37-GL37),0)</f>
        <v>0</v>
      </c>
      <c r="GZ37" s="415"/>
      <c r="HA37" s="1391" t="s">
        <v>1445</v>
      </c>
      <c r="HB37" s="1392">
        <v>1</v>
      </c>
      <c r="HC37" s="1392" t="s">
        <v>1592</v>
      </c>
      <c r="HD37" s="1393">
        <v>39</v>
      </c>
      <c r="HE37" s="1394">
        <v>2.25</v>
      </c>
      <c r="HF37" s="1392" t="s">
        <v>116</v>
      </c>
      <c r="HG37" s="1392" t="s">
        <v>116</v>
      </c>
      <c r="HH37" s="1392" t="s">
        <v>116</v>
      </c>
      <c r="HI37" s="1395" t="s">
        <v>116</v>
      </c>
      <c r="HJ37" s="1392" t="s">
        <v>116</v>
      </c>
      <c r="HK37" s="1392" t="s">
        <v>116</v>
      </c>
      <c r="HL37" s="1392">
        <v>5</v>
      </c>
      <c r="HM37" s="1392">
        <v>5</v>
      </c>
      <c r="HN37" s="1392" t="s">
        <v>116</v>
      </c>
      <c r="HO37" s="1392" t="s">
        <v>116</v>
      </c>
      <c r="HP37" s="1392" t="s">
        <v>116</v>
      </c>
      <c r="HQ37" s="1395" t="s">
        <v>116</v>
      </c>
      <c r="HR37" s="1392" t="s">
        <v>116</v>
      </c>
      <c r="HS37" s="1392" t="s">
        <v>116</v>
      </c>
      <c r="HT37" s="1392">
        <v>0</v>
      </c>
      <c r="HU37" s="1392">
        <v>2.25</v>
      </c>
      <c r="HV37" s="1392">
        <v>0</v>
      </c>
      <c r="HW37" s="1394">
        <v>2</v>
      </c>
      <c r="HX37" s="1394">
        <v>4</v>
      </c>
      <c r="HY37" s="1394" t="s">
        <v>116</v>
      </c>
      <c r="HZ37" s="1394" t="s">
        <v>116</v>
      </c>
      <c r="IA37" s="1394" t="s">
        <v>1658</v>
      </c>
      <c r="IB37" s="1394"/>
      <c r="IC37" s="1394"/>
      <c r="ID37" s="1394"/>
      <c r="IE37" s="1394"/>
      <c r="IF37" s="1396"/>
    </row>
    <row r="38" spans="1:240" ht="12.6" customHeight="1" x14ac:dyDescent="0.25">
      <c r="A38" s="1448" t="s">
        <v>1446</v>
      </c>
      <c r="B38" s="1681">
        <v>2</v>
      </c>
      <c r="C38" s="1449" t="s">
        <v>1592</v>
      </c>
      <c r="D38" s="1705">
        <v>40</v>
      </c>
      <c r="E38" s="1778">
        <v>0</v>
      </c>
      <c r="F38" s="1708" t="str">
        <f t="shared" si="86"/>
        <v/>
      </c>
      <c r="G38" s="1709" t="str">
        <f t="shared" si="87"/>
        <v/>
      </c>
      <c r="H38" s="1779" t="str">
        <f t="shared" si="88"/>
        <v/>
      </c>
      <c r="I38" s="1705" t="str">
        <f t="shared" si="89"/>
        <v/>
      </c>
      <c r="J38" s="1709" t="str">
        <f t="shared" si="90"/>
        <v/>
      </c>
      <c r="K38" s="1780" t="str">
        <f t="shared" si="91"/>
        <v/>
      </c>
      <c r="L38" s="1712">
        <v>5</v>
      </c>
      <c r="M38" s="1713">
        <v>5</v>
      </c>
      <c r="N38" s="1708" t="str">
        <f t="shared" si="92"/>
        <v/>
      </c>
      <c r="O38" s="1709" t="str">
        <f t="shared" si="93"/>
        <v/>
      </c>
      <c r="P38" s="1710" t="str">
        <f t="shared" si="94"/>
        <v/>
      </c>
      <c r="Q38" s="1705" t="str">
        <f t="shared" si="95"/>
        <v/>
      </c>
      <c r="R38" s="1709" t="str">
        <f t="shared" si="96"/>
        <v/>
      </c>
      <c r="S38" s="1753" t="str">
        <f t="shared" si="97"/>
        <v/>
      </c>
      <c r="T38" s="1708">
        <v>0</v>
      </c>
      <c r="U38" s="1709">
        <v>2.25</v>
      </c>
      <c r="V38" s="1705">
        <v>0</v>
      </c>
      <c r="W38" s="1709">
        <v>2</v>
      </c>
      <c r="X38" s="1750">
        <v>4</v>
      </c>
      <c r="Y38" s="1781" t="str">
        <f t="shared" si="98"/>
        <v/>
      </c>
      <c r="Z38" s="1782" t="str">
        <f t="shared" si="99"/>
        <v/>
      </c>
      <c r="AA38" s="1783" t="s">
        <v>1720</v>
      </c>
      <c r="AB38" s="1413"/>
      <c r="AC38" s="964" t="b">
        <v>0</v>
      </c>
      <c r="AD38" s="441">
        <f t="shared" si="1"/>
        <v>0</v>
      </c>
      <c r="AE38" s="442">
        <f t="shared" si="2"/>
        <v>2</v>
      </c>
      <c r="AF38" s="442">
        <f t="shared" si="3"/>
        <v>0</v>
      </c>
      <c r="AG38" s="442">
        <f t="shared" si="4"/>
        <v>0</v>
      </c>
      <c r="AH38" s="443">
        <f t="shared" si="5"/>
        <v>0</v>
      </c>
      <c r="AI38" s="444" t="b">
        <v>0</v>
      </c>
      <c r="AJ38" s="238">
        <f t="shared" si="108"/>
        <v>32</v>
      </c>
      <c r="AK38" s="238" t="str">
        <f t="shared" si="6"/>
        <v>LH</v>
      </c>
      <c r="AL38" s="1290" t="str">
        <f t="shared" si="7"/>
        <v/>
      </c>
      <c r="AM38" s="238">
        <f t="shared" si="8"/>
        <v>305</v>
      </c>
      <c r="AN38" s="238">
        <f t="shared" si="9"/>
        <v>180</v>
      </c>
      <c r="AO38" s="238" t="str">
        <f t="shared" si="10"/>
        <v/>
      </c>
      <c r="AP38" s="830" t="b">
        <f>IF(ISERROR(AJ38),FALSE,IF(OR(AJ38=0,ISERROR(AL38),ISERROR(AM38),ISERROR(AN38),ISERROR(AO38)),FALSE,IF(AL38&lt;&gt;"",IF(ISERROR(VLOOKUP(SUBSTITUTE(SUBSTITUTE(C38,"R",""),"A",""),TblJoistSize!$A:$A,1,FALSE)),FALSE,TRUE),TRUE)))</f>
        <v>1</v>
      </c>
      <c r="AQ38" s="1038">
        <f t="shared" si="11"/>
        <v>6</v>
      </c>
      <c r="AR38" s="945" t="b">
        <f t="shared" si="83"/>
        <v>1</v>
      </c>
      <c r="AS38" s="1038">
        <f t="shared" si="12"/>
        <v>6</v>
      </c>
      <c r="AT38" s="945" t="b">
        <f t="shared" si="84"/>
        <v>1</v>
      </c>
      <c r="AU38" s="1291" t="str">
        <f t="shared" si="13"/>
        <v>LH</v>
      </c>
      <c r="AV38" s="830" t="str">
        <f t="shared" si="14"/>
        <v/>
      </c>
      <c r="AW38" s="830" t="str">
        <f t="shared" si="81"/>
        <v>LH</v>
      </c>
      <c r="AX38" s="830" t="str">
        <f t="shared" si="85"/>
        <v>J16</v>
      </c>
      <c r="AY38" s="464" t="b">
        <f t="shared" si="15"/>
        <v>0</v>
      </c>
      <c r="AZ38" s="856" t="b">
        <f t="shared" si="82"/>
        <v>0</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16"/>
        <v/>
      </c>
      <c r="BR38" s="1563"/>
      <c r="BS38" s="672"/>
      <c r="BT38" s="982"/>
      <c r="BU38" s="983"/>
      <c r="BV38" s="1625"/>
      <c r="BW38" s="982"/>
      <c r="BX38" s="983"/>
      <c r="BY38" s="1569"/>
      <c r="BZ38" s="1570"/>
      <c r="CA38" s="1617" t="str">
        <f>IF(ISERROR(DE38),"",IF(DE38="","",IF(VLOOKUP(BS38,SectInfo!$B:$N,10,FALSE)="","","X")))</f>
        <v/>
      </c>
      <c r="CB38" s="1561"/>
      <c r="CC38" s="1562" t="str">
        <f t="shared" si="17"/>
        <v/>
      </c>
      <c r="CD38" s="1563"/>
      <c r="CE38" s="1574"/>
      <c r="CF38" s="736"/>
      <c r="CG38" s="737"/>
      <c r="CH38" s="643" t="str">
        <f t="shared" si="18"/>
        <v/>
      </c>
      <c r="CI38" s="644" t="str">
        <f t="shared" si="19"/>
        <v/>
      </c>
      <c r="CJ38" s="645" t="str">
        <f t="shared" si="20"/>
        <v/>
      </c>
      <c r="CK38" s="852" t="str">
        <f t="shared" si="21"/>
        <v/>
      </c>
      <c r="CL38" s="847" t="str">
        <f t="shared" si="22"/>
        <v/>
      </c>
      <c r="CM38" s="848" t="str">
        <f t="shared" si="23"/>
        <v/>
      </c>
      <c r="CN38" s="611" t="str">
        <f t="shared" si="24"/>
        <v/>
      </c>
      <c r="CO38" s="612" t="str">
        <f t="shared" si="25"/>
        <v/>
      </c>
      <c r="CP38" s="615" t="str">
        <f t="shared" si="26"/>
        <v/>
      </c>
      <c r="CQ38" s="616" t="str">
        <f t="shared" si="27"/>
        <v/>
      </c>
      <c r="CR38" s="750">
        <f t="shared" si="28"/>
        <v>5</v>
      </c>
      <c r="CS38" s="751">
        <f t="shared" si="29"/>
        <v>5</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0"/>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1"/>
        <v>0</v>
      </c>
      <c r="DO38" s="818">
        <f t="shared" si="32"/>
        <v>0</v>
      </c>
      <c r="DP38" s="822" t="str">
        <f t="shared" si="33"/>
        <v/>
      </c>
      <c r="DQ38" s="822" t="str">
        <f t="shared" si="34"/>
        <v/>
      </c>
      <c r="DR38" s="822" t="str">
        <f t="shared" si="35"/>
        <v/>
      </c>
      <c r="DS38" s="821">
        <f t="shared" si="36"/>
        <v>0</v>
      </c>
      <c r="DT38" s="821">
        <f t="shared" si="37"/>
        <v>0</v>
      </c>
      <c r="DU38" s="821" t="str">
        <f t="shared" si="38"/>
        <v/>
      </c>
      <c r="DV38" s="822" t="str">
        <f t="shared" si="39"/>
        <v/>
      </c>
      <c r="DW38" s="856" t="str">
        <f t="shared" si="40"/>
        <v/>
      </c>
      <c r="DX38" s="1006">
        <f t="shared" si="100"/>
        <v>0</v>
      </c>
      <c r="DY38" s="822">
        <f t="shared" si="41"/>
        <v>0</v>
      </c>
      <c r="DZ38" s="821">
        <f t="shared" si="42"/>
        <v>0</v>
      </c>
      <c r="EA38" s="821" t="str">
        <f t="shared" si="43"/>
        <v/>
      </c>
      <c r="EB38" s="822" t="str">
        <f t="shared" si="101"/>
        <v/>
      </c>
      <c r="EC38" s="856" t="str">
        <f t="shared" si="44"/>
        <v/>
      </c>
      <c r="ED38" s="1006">
        <f t="shared" si="102"/>
        <v>0</v>
      </c>
      <c r="EE38" s="1293" t="str">
        <f t="shared" si="45"/>
        <v/>
      </c>
      <c r="EF38" s="822" t="str">
        <f t="shared" si="103"/>
        <v/>
      </c>
      <c r="EG38" s="822" t="str">
        <f t="shared" si="104"/>
        <v/>
      </c>
      <c r="EH38" s="856" t="str">
        <f t="shared" si="46"/>
        <v>ERR</v>
      </c>
      <c r="EI38" s="856" t="str">
        <f t="shared" si="47"/>
        <v>ERR</v>
      </c>
      <c r="EJ38" s="822" t="str">
        <f t="shared" si="48"/>
        <v/>
      </c>
      <c r="EK38" s="822" t="str">
        <f t="shared" si="48"/>
        <v/>
      </c>
      <c r="EL38" s="1293" t="str">
        <f t="shared" si="49"/>
        <v/>
      </c>
      <c r="EM38" s="822" t="str">
        <f t="shared" si="105"/>
        <v/>
      </c>
      <c r="EN38" s="822" t="str">
        <f t="shared" si="106"/>
        <v/>
      </c>
      <c r="EO38" s="856" t="str">
        <f t="shared" si="50"/>
        <v>ERR</v>
      </c>
      <c r="EP38" s="856" t="str">
        <f t="shared" si="51"/>
        <v>ERR</v>
      </c>
      <c r="EQ38" s="822" t="str">
        <f t="shared" si="52"/>
        <v/>
      </c>
      <c r="ER38" s="822" t="str">
        <f t="shared" si="52"/>
        <v/>
      </c>
      <c r="ES38" s="822" t="str">
        <f t="shared" si="53"/>
        <v/>
      </c>
      <c r="ET38" s="822" t="str">
        <f t="shared" si="54"/>
        <v/>
      </c>
      <c r="EU38" s="829">
        <f t="shared" si="55"/>
        <v>4</v>
      </c>
      <c r="EV38" s="824" t="str">
        <f t="shared" si="10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56"/>
        <v/>
      </c>
      <c r="FA38" s="829" t="str">
        <f>IF(AND(DE38="G", ISBLANK(BW38), ISBLANK(BX38)),VLOOKUP(MIN(BT38:BU38),TblJoistSize!$M$3:$N$10,2),IF(OR(DE38="B", DE38="G"),MIN(BW38:BX38),""))</f>
        <v/>
      </c>
      <c r="FB38" s="829" t="str">
        <f>IF(AND(DE38="G", ISBLANK(BW38), ISBLANK(BX38)),VLOOKUP(MAX(BT38:BU38),TblJoistSize!$M$3:$N$10,2),IF(OR(DE38="B", DE38="G"),MAX(BW38:BX38),""))</f>
        <v/>
      </c>
      <c r="FC38" s="829" t="str">
        <f t="shared" si="57"/>
        <v/>
      </c>
      <c r="FD38" s="822">
        <f t="shared" si="58"/>
        <v>0</v>
      </c>
      <c r="FE38" s="822">
        <f t="shared" si="59"/>
        <v>0</v>
      </c>
      <c r="FF38" s="821">
        <f t="shared" si="60"/>
        <v>0</v>
      </c>
      <c r="FG38" s="821" t="str">
        <f t="shared" si="61"/>
        <v/>
      </c>
      <c r="FH38" s="822" t="str">
        <f t="shared" si="62"/>
        <v/>
      </c>
      <c r="FI38" s="822">
        <f t="shared" si="63"/>
        <v>0</v>
      </c>
      <c r="FJ38" s="822">
        <f t="shared" si="64"/>
        <v>0</v>
      </c>
      <c r="FK38" s="821">
        <f t="shared" si="65"/>
        <v>0</v>
      </c>
      <c r="FL38" s="821" t="str">
        <f t="shared" si="66"/>
        <v/>
      </c>
      <c r="FM38" s="822" t="str">
        <f t="shared" si="67"/>
        <v/>
      </c>
      <c r="FN38" s="822" t="e">
        <f t="shared" si="68"/>
        <v>#VALUE!</v>
      </c>
      <c r="FO38" s="940" t="e">
        <f t="shared" si="69"/>
        <v>#VALUE!</v>
      </c>
      <c r="FP38" s="940" t="e">
        <f t="shared" si="70"/>
        <v>#VALUE!</v>
      </c>
      <c r="FQ38" s="830" t="e">
        <f t="shared" si="71"/>
        <v>#VALUE!</v>
      </c>
      <c r="FR38" s="831" t="e">
        <f t="shared" si="72"/>
        <v>#VALUE!</v>
      </c>
      <c r="FS38" s="832" t="str">
        <f t="shared" si="73"/>
        <v/>
      </c>
      <c r="FT38" s="833" t="str">
        <f t="shared" si="74"/>
        <v/>
      </c>
      <c r="FU38" s="870">
        <f t="shared" si="75"/>
        <v>0</v>
      </c>
      <c r="FV38" s="871">
        <f t="shared" si="76"/>
        <v>0</v>
      </c>
      <c r="GA38" s="1791">
        <v>40</v>
      </c>
      <c r="GB38" s="1792">
        <v>0.75</v>
      </c>
      <c r="GC38" s="1793">
        <v>-0.25</v>
      </c>
      <c r="GD38" s="1794">
        <v>-0.5</v>
      </c>
      <c r="GE38" s="1795">
        <f t="shared" si="77"/>
        <v>0</v>
      </c>
      <c r="GF38" s="600" t="str">
        <f t="shared" si="78"/>
        <v>J16</v>
      </c>
      <c r="GG38" s="1130">
        <v>0</v>
      </c>
      <c r="GH38" s="1131">
        <v>0</v>
      </c>
      <c r="GI38" s="1130"/>
      <c r="GJ38" s="1131"/>
      <c r="GK38" s="1636">
        <f t="shared" si="79"/>
        <v>480</v>
      </c>
      <c r="GL38" s="1636">
        <f t="shared" si="80"/>
        <v>480</v>
      </c>
      <c r="GM38" s="1637">
        <f>IF(ABS(GK38-GL38)&gt;='Job Info.'!$L$22,ABS(GK38-GL38),0)</f>
        <v>0</v>
      </c>
      <c r="GZ38" s="415"/>
      <c r="HA38" s="1391" t="s">
        <v>1446</v>
      </c>
      <c r="HB38" s="1392">
        <v>2</v>
      </c>
      <c r="HC38" s="1392" t="s">
        <v>1592</v>
      </c>
      <c r="HD38" s="1393">
        <v>40</v>
      </c>
      <c r="HE38" s="1394">
        <v>0</v>
      </c>
      <c r="HF38" s="1392" t="s">
        <v>116</v>
      </c>
      <c r="HG38" s="1392" t="s">
        <v>116</v>
      </c>
      <c r="HH38" s="1392" t="s">
        <v>116</v>
      </c>
      <c r="HI38" s="1395" t="s">
        <v>116</v>
      </c>
      <c r="HJ38" s="1392" t="s">
        <v>116</v>
      </c>
      <c r="HK38" s="1392" t="s">
        <v>116</v>
      </c>
      <c r="HL38" s="1392">
        <v>5</v>
      </c>
      <c r="HM38" s="1392">
        <v>5</v>
      </c>
      <c r="HN38" s="1392" t="s">
        <v>116</v>
      </c>
      <c r="HO38" s="1392" t="s">
        <v>116</v>
      </c>
      <c r="HP38" s="1392" t="s">
        <v>116</v>
      </c>
      <c r="HQ38" s="1395" t="s">
        <v>116</v>
      </c>
      <c r="HR38" s="1392" t="s">
        <v>116</v>
      </c>
      <c r="HS38" s="1392" t="s">
        <v>116</v>
      </c>
      <c r="HT38" s="1392">
        <v>0</v>
      </c>
      <c r="HU38" s="1392">
        <v>2.25</v>
      </c>
      <c r="HV38" s="1392">
        <v>0</v>
      </c>
      <c r="HW38" s="1394">
        <v>2</v>
      </c>
      <c r="HX38" s="1394">
        <v>4</v>
      </c>
      <c r="HY38" s="1394" t="s">
        <v>116</v>
      </c>
      <c r="HZ38" s="1394" t="s">
        <v>116</v>
      </c>
      <c r="IA38" s="1394" t="s">
        <v>1659</v>
      </c>
      <c r="IB38" s="1394"/>
      <c r="IC38" s="1394"/>
      <c r="ID38" s="1394"/>
      <c r="IE38" s="1394"/>
      <c r="IF38" s="1396"/>
    </row>
    <row r="39" spans="1:240" ht="12.6" customHeight="1" x14ac:dyDescent="0.25">
      <c r="A39" s="1448" t="str">
        <f t="shared" ref="A39:A40" si="109">IF(BB39="","",UPPER(BB39))</f>
        <v/>
      </c>
      <c r="B39" s="1681"/>
      <c r="C39" s="1449" t="str">
        <f t="shared" ref="C39:C40" si="110">IF(BD39="","",UPPER(BD39))</f>
        <v/>
      </c>
      <c r="D39" s="1705" t="str">
        <f t="shared" ref="D39:D40" si="111">IF(DP39="","",TRUNC(DP39/12))</f>
        <v/>
      </c>
      <c r="E39" s="1778" t="str">
        <f t="shared" ref="E39:E40" si="112">IF(DP39="","",DP39-(D39*12))</f>
        <v/>
      </c>
      <c r="F39" s="1708" t="str">
        <f t="shared" si="86"/>
        <v/>
      </c>
      <c r="G39" s="1709" t="str">
        <f t="shared" si="87"/>
        <v/>
      </c>
      <c r="H39" s="1779" t="str">
        <f t="shared" si="88"/>
        <v/>
      </c>
      <c r="I39" s="1705" t="str">
        <f t="shared" si="89"/>
        <v/>
      </c>
      <c r="J39" s="1709" t="str">
        <f t="shared" si="90"/>
        <v/>
      </c>
      <c r="K39" s="1780" t="str">
        <f t="shared" si="91"/>
        <v/>
      </c>
      <c r="L39" s="1712" t="str">
        <f t="shared" ref="L39:M40" si="113">DQ39</f>
        <v/>
      </c>
      <c r="M39" s="1713" t="str">
        <f t="shared" si="113"/>
        <v/>
      </c>
      <c r="N39" s="1708" t="str">
        <f t="shared" si="92"/>
        <v/>
      </c>
      <c r="O39" s="1709" t="str">
        <f t="shared" si="93"/>
        <v/>
      </c>
      <c r="P39" s="1710" t="str">
        <f t="shared" si="94"/>
        <v/>
      </c>
      <c r="Q39" s="1705" t="str">
        <f t="shared" si="95"/>
        <v/>
      </c>
      <c r="R39" s="1709" t="str">
        <f t="shared" si="96"/>
        <v/>
      </c>
      <c r="S39" s="1753" t="str">
        <f t="shared" si="97"/>
        <v/>
      </c>
      <c r="T39" s="1708" t="str">
        <f t="shared" ref="T39:T40" si="114">IF(CH39="ERR","",IF(EK39="","",IF(EK39="ERR",TRUNC(EJ39/12),TRUNC(EK39/12))))</f>
        <v/>
      </c>
      <c r="U39" s="1709" t="str">
        <f t="shared" ref="U39:U40" si="115">IF(CH39="ERR","",IF(EK39="","",IF(EK39="ERR",EJ39-(T39*12),EK39-(T39*12))))</f>
        <v/>
      </c>
      <c r="V39" s="1705" t="str">
        <f t="shared" ref="V39:V40" si="116">IF(CI39="ERR","",IF(ER39="","",IF(ER39="ERR",TRUNC(EQ39/12),TRUNC(ER39/12))))</f>
        <v/>
      </c>
      <c r="W39" s="1709" t="str">
        <f t="shared" ref="W39:W40" si="117">IF(CI39="ERR","",IF(ER39="","",IF(ER39="ERR",EQ39-(V39*12),ER39-(V39*12))))</f>
        <v/>
      </c>
      <c r="X39" s="1750">
        <f t="shared" ref="X39:X40" si="118">IF(EV39="",0,EV39)</f>
        <v>0</v>
      </c>
      <c r="Y39" s="1781" t="str">
        <f t="shared" si="98"/>
        <v/>
      </c>
      <c r="Z39" s="1782" t="str">
        <f t="shared" si="99"/>
        <v/>
      </c>
      <c r="AA39" s="1783" t="s">
        <v>116</v>
      </c>
      <c r="AB39" s="1413"/>
      <c r="AC39" s="964" t="b">
        <v>0</v>
      </c>
      <c r="AD39" s="441">
        <f t="shared" si="1"/>
        <v>0</v>
      </c>
      <c r="AE39" s="442">
        <f t="shared" si="2"/>
        <v>0</v>
      </c>
      <c r="AF39" s="442">
        <f t="shared" si="3"/>
        <v>0</v>
      </c>
      <c r="AG39" s="442">
        <f t="shared" si="4"/>
        <v>0</v>
      </c>
      <c r="AH39" s="443">
        <f t="shared" si="5"/>
        <v>0</v>
      </c>
      <c r="AI39" s="444" t="b">
        <v>0</v>
      </c>
      <c r="AJ39" s="238">
        <f t="shared" si="108"/>
        <v>0</v>
      </c>
      <c r="AK39" s="238" t="str">
        <f t="shared" si="6"/>
        <v/>
      </c>
      <c r="AL39" s="1290" t="str">
        <f t="shared" si="7"/>
        <v/>
      </c>
      <c r="AM39" s="238" t="str">
        <f t="shared" si="8"/>
        <v/>
      </c>
      <c r="AN39" s="238" t="str">
        <f t="shared" si="9"/>
        <v/>
      </c>
      <c r="AO39" s="238" t="str">
        <f t="shared" si="10"/>
        <v/>
      </c>
      <c r="AP39" s="830" t="b">
        <f>IF(ISERROR(AJ39),FALSE,IF(OR(AJ39=0,ISERROR(AL39),ISERROR(AM39),ISERROR(AN39),ISERROR(AO39)),FALSE,IF(AL39&lt;&gt;"",IF(ISERROR(VLOOKUP(SUBSTITUTE(SUBSTITUTE(C39,"R",""),"A",""),TblJoistSize!$A:$A,1,FALSE)),FALSE,TRUE),TRUE)))</f>
        <v>0</v>
      </c>
      <c r="AQ39" s="1038" t="e">
        <f t="shared" si="11"/>
        <v>#N/A</v>
      </c>
      <c r="AR39" s="945" t="b">
        <f t="shared" si="83"/>
        <v>0</v>
      </c>
      <c r="AS39" s="1038" t="e">
        <f t="shared" si="12"/>
        <v>#N/A</v>
      </c>
      <c r="AT39" s="945" t="b">
        <f t="shared" si="84"/>
        <v>0</v>
      </c>
      <c r="AU39" s="1291" t="str">
        <f t="shared" si="13"/>
        <v/>
      </c>
      <c r="AV39" s="830" t="str">
        <f t="shared" si="14"/>
        <v/>
      </c>
      <c r="AW39" s="830" t="str">
        <f t="shared" si="81"/>
        <v/>
      </c>
      <c r="AX39" s="830" t="str">
        <f t="shared" si="85"/>
        <v/>
      </c>
      <c r="AY39" s="464" t="b">
        <f t="shared" si="15"/>
        <v>0</v>
      </c>
      <c r="AZ39" s="856" t="str">
        <f t="shared" si="82"/>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16"/>
        <v/>
      </c>
      <c r="BR39" s="1563"/>
      <c r="BS39" s="672"/>
      <c r="BT39" s="982"/>
      <c r="BU39" s="983"/>
      <c r="BV39" s="1625"/>
      <c r="BW39" s="982"/>
      <c r="BX39" s="983"/>
      <c r="BY39" s="1569"/>
      <c r="BZ39" s="1570"/>
      <c r="CA39" s="1617" t="str">
        <f>IF(ISERROR(DE39),"",IF(DE39="","",IF(VLOOKUP(BS39,SectInfo!$B:$N,10,FALSE)="","","X")))</f>
        <v/>
      </c>
      <c r="CB39" s="1561"/>
      <c r="CC39" s="1562" t="str">
        <f t="shared" si="17"/>
        <v/>
      </c>
      <c r="CD39" s="1563"/>
      <c r="CE39" s="1574"/>
      <c r="CF39" s="736"/>
      <c r="CG39" s="737"/>
      <c r="CH39" s="643" t="str">
        <f t="shared" si="18"/>
        <v/>
      </c>
      <c r="CI39" s="644" t="str">
        <f t="shared" si="19"/>
        <v/>
      </c>
      <c r="CJ39" s="645" t="str">
        <f t="shared" si="20"/>
        <v/>
      </c>
      <c r="CK39" s="852" t="str">
        <f t="shared" si="21"/>
        <v/>
      </c>
      <c r="CL39" s="847" t="str">
        <f t="shared" si="22"/>
        <v/>
      </c>
      <c r="CM39" s="848" t="str">
        <f t="shared" si="23"/>
        <v/>
      </c>
      <c r="CN39" s="611" t="str">
        <f t="shared" si="24"/>
        <v/>
      </c>
      <c r="CO39" s="612" t="str">
        <f t="shared" si="25"/>
        <v/>
      </c>
      <c r="CP39" s="615" t="str">
        <f t="shared" si="26"/>
        <v/>
      </c>
      <c r="CQ39" s="616" t="str">
        <f t="shared" si="27"/>
        <v/>
      </c>
      <c r="CR39" s="750" t="str">
        <f t="shared" si="28"/>
        <v/>
      </c>
      <c r="CS39" s="751" t="str">
        <f t="shared" si="29"/>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0"/>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1"/>
        <v>0</v>
      </c>
      <c r="DO39" s="818">
        <f t="shared" si="32"/>
        <v>0</v>
      </c>
      <c r="DP39" s="822" t="str">
        <f t="shared" si="33"/>
        <v/>
      </c>
      <c r="DQ39" s="822" t="str">
        <f t="shared" si="34"/>
        <v/>
      </c>
      <c r="DR39" s="822" t="str">
        <f t="shared" si="35"/>
        <v/>
      </c>
      <c r="DS39" s="821">
        <f t="shared" si="36"/>
        <v>0</v>
      </c>
      <c r="DT39" s="821">
        <f t="shared" si="37"/>
        <v>0</v>
      </c>
      <c r="DU39" s="821" t="str">
        <f t="shared" si="38"/>
        <v/>
      </c>
      <c r="DV39" s="822" t="str">
        <f t="shared" si="39"/>
        <v/>
      </c>
      <c r="DW39" s="856" t="str">
        <f t="shared" si="40"/>
        <v/>
      </c>
      <c r="DX39" s="1006">
        <f t="shared" si="100"/>
        <v>0</v>
      </c>
      <c r="DY39" s="822">
        <f t="shared" si="41"/>
        <v>0</v>
      </c>
      <c r="DZ39" s="821">
        <f t="shared" si="42"/>
        <v>0</v>
      </c>
      <c r="EA39" s="821" t="str">
        <f t="shared" si="43"/>
        <v/>
      </c>
      <c r="EB39" s="822" t="str">
        <f t="shared" si="101"/>
        <v/>
      </c>
      <c r="EC39" s="856" t="str">
        <f t="shared" si="44"/>
        <v/>
      </c>
      <c r="ED39" s="1006">
        <f t="shared" si="102"/>
        <v>0</v>
      </c>
      <c r="EE39" s="1293" t="str">
        <f t="shared" si="45"/>
        <v/>
      </c>
      <c r="EF39" s="822" t="str">
        <f t="shared" si="103"/>
        <v/>
      </c>
      <c r="EG39" s="822" t="str">
        <f t="shared" si="104"/>
        <v/>
      </c>
      <c r="EH39" s="856" t="e">
        <f t="shared" si="46"/>
        <v>#N/A</v>
      </c>
      <c r="EI39" s="856" t="e">
        <f t="shared" si="47"/>
        <v>#N/A</v>
      </c>
      <c r="EJ39" s="822" t="str">
        <f t="shared" ref="EJ39:EK40" si="119">IF(ISERROR(EF39),"ERR",IF(EF39="","",IF(EH39="ERR","ERR",CEILING(EH39-0.0625,0.125))))</f>
        <v/>
      </c>
      <c r="EK39" s="822" t="str">
        <f t="shared" si="119"/>
        <v/>
      </c>
      <c r="EL39" s="1293" t="str">
        <f t="shared" si="49"/>
        <v/>
      </c>
      <c r="EM39" s="822" t="str">
        <f t="shared" si="105"/>
        <v/>
      </c>
      <c r="EN39" s="822" t="str">
        <f t="shared" si="106"/>
        <v/>
      </c>
      <c r="EO39" s="856" t="e">
        <f t="shared" si="50"/>
        <v>#N/A</v>
      </c>
      <c r="EP39" s="856" t="e">
        <f t="shared" si="51"/>
        <v>#N/A</v>
      </c>
      <c r="EQ39" s="822" t="str">
        <f t="shared" si="52"/>
        <v/>
      </c>
      <c r="ER39" s="822" t="str">
        <f t="shared" si="52"/>
        <v/>
      </c>
      <c r="ES39" s="822" t="str">
        <f t="shared" si="53"/>
        <v/>
      </c>
      <c r="ET39" s="822" t="str">
        <f t="shared" si="54"/>
        <v/>
      </c>
      <c r="EU39" s="829" t="str">
        <f t="shared" si="55"/>
        <v/>
      </c>
      <c r="EV39" s="824" t="str">
        <f t="shared" si="10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56"/>
        <v/>
      </c>
      <c r="FA39" s="829" t="str">
        <f>IF(AND(DE39="G", ISBLANK(BW39), ISBLANK(BX39)),VLOOKUP(MIN(BT39:BU39),TblJoistSize!$M$3:$N$10,2),IF(OR(DE39="B", DE39="G"),MIN(BW39:BX39),""))</f>
        <v/>
      </c>
      <c r="FB39" s="829" t="str">
        <f>IF(AND(DE39="G", ISBLANK(BW39), ISBLANK(BX39)),VLOOKUP(MAX(BT39:BU39),TblJoistSize!$M$3:$N$10,2),IF(OR(DE39="B", DE39="G"),MAX(BW39:BX39),""))</f>
        <v/>
      </c>
      <c r="FC39" s="829" t="str">
        <f t="shared" si="57"/>
        <v/>
      </c>
      <c r="FD39" s="822">
        <f t="shared" si="58"/>
        <v>0</v>
      </c>
      <c r="FE39" s="822">
        <f t="shared" si="59"/>
        <v>0</v>
      </c>
      <c r="FF39" s="821">
        <f t="shared" si="60"/>
        <v>0</v>
      </c>
      <c r="FG39" s="821" t="str">
        <f t="shared" si="61"/>
        <v/>
      </c>
      <c r="FH39" s="822" t="str">
        <f t="shared" si="62"/>
        <v/>
      </c>
      <c r="FI39" s="822">
        <f t="shared" si="63"/>
        <v>0</v>
      </c>
      <c r="FJ39" s="822">
        <f t="shared" si="64"/>
        <v>0</v>
      </c>
      <c r="FK39" s="821">
        <f t="shared" si="65"/>
        <v>0</v>
      </c>
      <c r="FL39" s="821" t="str">
        <f t="shared" si="66"/>
        <v/>
      </c>
      <c r="FM39" s="822" t="str">
        <f t="shared" si="67"/>
        <v/>
      </c>
      <c r="FN39" s="822" t="e">
        <f t="shared" si="68"/>
        <v>#VALUE!</v>
      </c>
      <c r="FO39" s="940" t="e">
        <f t="shared" si="69"/>
        <v>#VALUE!</v>
      </c>
      <c r="FP39" s="940" t="e">
        <f t="shared" si="70"/>
        <v>#VALUE!</v>
      </c>
      <c r="FQ39" s="830" t="e">
        <f t="shared" si="71"/>
        <v>#VALUE!</v>
      </c>
      <c r="FR39" s="831" t="e">
        <f t="shared" si="72"/>
        <v>#VALUE!</v>
      </c>
      <c r="FS39" s="832" t="str">
        <f t="shared" si="73"/>
        <v/>
      </c>
      <c r="FT39" s="833" t="str">
        <f t="shared" si="74"/>
        <v/>
      </c>
      <c r="FU39" s="870">
        <f t="shared" si="75"/>
        <v>0</v>
      </c>
      <c r="FV39" s="871">
        <f t="shared" si="76"/>
        <v>0</v>
      </c>
      <c r="GA39" s="1791" t="str">
        <f t="shared" ref="GA39:GA40" si="120">IF(GF39="","",BE39)</f>
        <v/>
      </c>
      <c r="GB39" s="1792" t="str">
        <f t="shared" ref="GB39:GB40" si="121">IF(GF39="","",BF39)</f>
        <v/>
      </c>
      <c r="GC39" s="1793" t="str">
        <f t="shared" ref="GC39:GC40" si="122">IF(GF39="","",IF(CV39="",0,CV39))</f>
        <v/>
      </c>
      <c r="GD39" s="1794" t="str">
        <f t="shared" ref="GD39:GD40" si="123">IF(GF39="","",IF(DF39="",0,DF39))</f>
        <v/>
      </c>
      <c r="GE39" s="1795" t="str">
        <f t="shared" si="77"/>
        <v/>
      </c>
      <c r="GF39" s="600" t="str">
        <f t="shared" si="78"/>
        <v/>
      </c>
      <c r="GG39" s="1130"/>
      <c r="GH39" s="1131"/>
      <c r="GI39" s="1130"/>
      <c r="GJ39" s="1131"/>
      <c r="GK39" s="1636">
        <f t="shared" si="79"/>
        <v>0</v>
      </c>
      <c r="GL39" s="1636" t="e">
        <f t="shared" si="80"/>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09"/>
        <v/>
      </c>
      <c r="B40" s="1682"/>
      <c r="C40" s="1461" t="str">
        <f t="shared" si="110"/>
        <v/>
      </c>
      <c r="D40" s="1719" t="str">
        <f t="shared" si="111"/>
        <v/>
      </c>
      <c r="E40" s="1784" t="str">
        <f t="shared" si="112"/>
        <v/>
      </c>
      <c r="F40" s="1722" t="str">
        <f t="shared" si="86"/>
        <v/>
      </c>
      <c r="G40" s="1723" t="str">
        <f t="shared" si="87"/>
        <v/>
      </c>
      <c r="H40" s="1785" t="str">
        <f t="shared" si="88"/>
        <v/>
      </c>
      <c r="I40" s="1719" t="str">
        <f t="shared" si="89"/>
        <v/>
      </c>
      <c r="J40" s="1723" t="str">
        <f t="shared" si="90"/>
        <v/>
      </c>
      <c r="K40" s="1786" t="str">
        <f t="shared" si="91"/>
        <v/>
      </c>
      <c r="L40" s="1726" t="str">
        <f t="shared" si="113"/>
        <v/>
      </c>
      <c r="M40" s="1727" t="str">
        <f t="shared" si="113"/>
        <v/>
      </c>
      <c r="N40" s="1722" t="str">
        <f t="shared" si="92"/>
        <v/>
      </c>
      <c r="O40" s="1723" t="str">
        <f t="shared" si="93"/>
        <v/>
      </c>
      <c r="P40" s="1724" t="str">
        <f t="shared" si="94"/>
        <v/>
      </c>
      <c r="Q40" s="1719" t="str">
        <f t="shared" si="95"/>
        <v/>
      </c>
      <c r="R40" s="1723" t="str">
        <f t="shared" si="96"/>
        <v/>
      </c>
      <c r="S40" s="1760" t="str">
        <f t="shared" si="97"/>
        <v/>
      </c>
      <c r="T40" s="1722" t="str">
        <f t="shared" si="114"/>
        <v/>
      </c>
      <c r="U40" s="1723" t="str">
        <f t="shared" si="115"/>
        <v/>
      </c>
      <c r="V40" s="1719" t="str">
        <f t="shared" si="116"/>
        <v/>
      </c>
      <c r="W40" s="1723" t="str">
        <f t="shared" si="117"/>
        <v/>
      </c>
      <c r="X40" s="1757">
        <f t="shared" si="118"/>
        <v>0</v>
      </c>
      <c r="Y40" s="1787" t="str">
        <f t="shared" si="98"/>
        <v/>
      </c>
      <c r="Z40" s="1788" t="str">
        <f t="shared" si="99"/>
        <v/>
      </c>
      <c r="AA40" s="1789" t="s">
        <v>116</v>
      </c>
      <c r="AB40" s="1413"/>
      <c r="AC40" s="964" t="b">
        <v>0</v>
      </c>
      <c r="AD40" s="441">
        <f t="shared" si="1"/>
        <v>0</v>
      </c>
      <c r="AE40" s="442">
        <f t="shared" si="2"/>
        <v>0</v>
      </c>
      <c r="AF40" s="442">
        <f t="shared" si="3"/>
        <v>0</v>
      </c>
      <c r="AG40" s="442">
        <f t="shared" si="4"/>
        <v>0</v>
      </c>
      <c r="AH40" s="443">
        <f t="shared" si="5"/>
        <v>0</v>
      </c>
      <c r="AI40" s="444" t="b">
        <v>0</v>
      </c>
      <c r="AJ40" s="238">
        <f t="shared" si="108"/>
        <v>0</v>
      </c>
      <c r="AK40" s="238" t="str">
        <f t="shared" si="6"/>
        <v/>
      </c>
      <c r="AL40" s="1290" t="str">
        <f t="shared" si="7"/>
        <v/>
      </c>
      <c r="AM40" s="238" t="str">
        <f t="shared" si="8"/>
        <v/>
      </c>
      <c r="AN40" s="238" t="str">
        <f t="shared" si="9"/>
        <v/>
      </c>
      <c r="AO40" s="238" t="str">
        <f t="shared" si="10"/>
        <v/>
      </c>
      <c r="AP40" s="830" t="b">
        <f>IF(ISERROR(AJ40),FALSE,IF(OR(AJ40=0,ISERROR(AL40),ISERROR(AM40),ISERROR(AN40),ISERROR(AO40)),FALSE,IF(AL40&lt;&gt;"",IF(ISERROR(VLOOKUP(SUBSTITUTE(SUBSTITUTE(C40,"R",""),"A",""),TblJoistSize!$A:$A,1,FALSE)),FALSE,TRUE),TRUE)))</f>
        <v>0</v>
      </c>
      <c r="AQ40" s="1038" t="e">
        <f t="shared" si="11"/>
        <v>#N/A</v>
      </c>
      <c r="AR40" s="945" t="b">
        <f t="shared" si="83"/>
        <v>0</v>
      </c>
      <c r="AS40" s="1038" t="e">
        <f t="shared" si="12"/>
        <v>#N/A</v>
      </c>
      <c r="AT40" s="945" t="b">
        <f t="shared" si="84"/>
        <v>0</v>
      </c>
      <c r="AU40" s="1291" t="str">
        <f t="shared" si="13"/>
        <v/>
      </c>
      <c r="AV40" s="830" t="str">
        <f t="shared" si="14"/>
        <v/>
      </c>
      <c r="AW40" s="830" t="str">
        <f t="shared" si="81"/>
        <v/>
      </c>
      <c r="AX40" s="830" t="str">
        <f t="shared" si="85"/>
        <v/>
      </c>
      <c r="AY40" s="464" t="b">
        <f t="shared" si="15"/>
        <v>0</v>
      </c>
      <c r="AZ40" s="856" t="str">
        <f t="shared" si="82"/>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16"/>
        <v/>
      </c>
      <c r="BR40" s="1566"/>
      <c r="BS40" s="681"/>
      <c r="BT40" s="985"/>
      <c r="BU40" s="986"/>
      <c r="BV40" s="1626"/>
      <c r="BW40" s="985"/>
      <c r="BX40" s="986"/>
      <c r="BY40" s="1571"/>
      <c r="BZ40" s="1572"/>
      <c r="CA40" s="1618" t="str">
        <f>IF(ISERROR(DE40),"",IF(DE40="","",IF(VLOOKUP(BS40,SectInfo!$B:$N,10,FALSE)="","","X")))</f>
        <v/>
      </c>
      <c r="CB40" s="1564"/>
      <c r="CC40" s="1565" t="str">
        <f t="shared" si="17"/>
        <v/>
      </c>
      <c r="CD40" s="1566"/>
      <c r="CE40" s="1575"/>
      <c r="CF40" s="739"/>
      <c r="CG40" s="740"/>
      <c r="CH40" s="801" t="str">
        <f t="shared" si="18"/>
        <v/>
      </c>
      <c r="CI40" s="802" t="str">
        <f t="shared" si="19"/>
        <v/>
      </c>
      <c r="CJ40" s="803" t="str">
        <f t="shared" si="20"/>
        <v/>
      </c>
      <c r="CK40" s="853" t="str">
        <f t="shared" si="21"/>
        <v/>
      </c>
      <c r="CL40" s="849" t="str">
        <f t="shared" si="22"/>
        <v/>
      </c>
      <c r="CM40" s="850" t="str">
        <f t="shared" si="23"/>
        <v/>
      </c>
      <c r="CN40" s="804" t="str">
        <f t="shared" si="24"/>
        <v/>
      </c>
      <c r="CO40" s="805" t="str">
        <f t="shared" si="25"/>
        <v/>
      </c>
      <c r="CP40" s="617" t="str">
        <f t="shared" si="26"/>
        <v/>
      </c>
      <c r="CQ40" s="618" t="str">
        <f t="shared" si="27"/>
        <v/>
      </c>
      <c r="CR40" s="752" t="str">
        <f t="shared" si="28"/>
        <v/>
      </c>
      <c r="CS40" s="753" t="str">
        <f t="shared" si="29"/>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0"/>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1"/>
        <v>0</v>
      </c>
      <c r="DO40" s="837">
        <f t="shared" si="32"/>
        <v>0</v>
      </c>
      <c r="DP40" s="838" t="str">
        <f t="shared" si="33"/>
        <v/>
      </c>
      <c r="DQ40" s="838" t="str">
        <f t="shared" si="34"/>
        <v/>
      </c>
      <c r="DR40" s="838" t="str">
        <f t="shared" si="35"/>
        <v/>
      </c>
      <c r="DS40" s="839">
        <f t="shared" si="36"/>
        <v>0</v>
      </c>
      <c r="DT40" s="839">
        <f t="shared" si="37"/>
        <v>0</v>
      </c>
      <c r="DU40" s="839" t="str">
        <f t="shared" si="38"/>
        <v/>
      </c>
      <c r="DV40" s="838" t="str">
        <f t="shared" si="39"/>
        <v/>
      </c>
      <c r="DW40" s="1128" t="str">
        <f t="shared" si="40"/>
        <v/>
      </c>
      <c r="DX40" s="1007">
        <f t="shared" si="100"/>
        <v>0</v>
      </c>
      <c r="DY40" s="838">
        <f t="shared" si="41"/>
        <v>0</v>
      </c>
      <c r="DZ40" s="839">
        <f t="shared" si="42"/>
        <v>0</v>
      </c>
      <c r="EA40" s="839" t="str">
        <f t="shared" si="43"/>
        <v/>
      </c>
      <c r="EB40" s="838" t="str">
        <f t="shared" si="101"/>
        <v/>
      </c>
      <c r="EC40" s="1128" t="str">
        <f t="shared" si="44"/>
        <v/>
      </c>
      <c r="ED40" s="1007">
        <f t="shared" si="102"/>
        <v>0</v>
      </c>
      <c r="EE40" s="1294" t="str">
        <f t="shared" si="45"/>
        <v/>
      </c>
      <c r="EF40" s="838" t="str">
        <f t="shared" si="103"/>
        <v/>
      </c>
      <c r="EG40" s="838" t="str">
        <f t="shared" si="104"/>
        <v/>
      </c>
      <c r="EH40" s="856" t="e">
        <f t="shared" si="46"/>
        <v>#N/A</v>
      </c>
      <c r="EI40" s="856" t="e">
        <f t="shared" si="47"/>
        <v>#N/A</v>
      </c>
      <c r="EJ40" s="838" t="str">
        <f t="shared" si="119"/>
        <v/>
      </c>
      <c r="EK40" s="838" t="str">
        <f t="shared" si="119"/>
        <v/>
      </c>
      <c r="EL40" s="1294" t="str">
        <f t="shared" si="49"/>
        <v/>
      </c>
      <c r="EM40" s="838" t="str">
        <f t="shared" si="105"/>
        <v/>
      </c>
      <c r="EN40" s="838" t="str">
        <f t="shared" si="106"/>
        <v/>
      </c>
      <c r="EO40" s="856" t="e">
        <f t="shared" si="50"/>
        <v>#N/A</v>
      </c>
      <c r="EP40" s="856" t="e">
        <f t="shared" si="51"/>
        <v>#N/A</v>
      </c>
      <c r="EQ40" s="838" t="str">
        <f t="shared" si="52"/>
        <v/>
      </c>
      <c r="ER40" s="838" t="str">
        <f t="shared" si="52"/>
        <v/>
      </c>
      <c r="ES40" s="838" t="str">
        <f t="shared" si="53"/>
        <v/>
      </c>
      <c r="ET40" s="838" t="str">
        <f t="shared" si="54"/>
        <v/>
      </c>
      <c r="EU40" s="840" t="str">
        <f t="shared" si="55"/>
        <v/>
      </c>
      <c r="EV40" s="956" t="str">
        <f t="shared" si="10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56"/>
        <v/>
      </c>
      <c r="FA40" s="840" t="str">
        <f>IF(AND(DE40="G", ISBLANK(BW40), ISBLANK(BX40)),VLOOKUP(MIN(BT40:BU40),TblJoistSize!$M$3:$N$10,2),IF(OR(DE40="B", DE40="G"),MIN(BW40:BX40),""))</f>
        <v/>
      </c>
      <c r="FB40" s="840" t="str">
        <f>IF(AND(DE40="G", ISBLANK(BW40), ISBLANK(BX40)),VLOOKUP(MAX(BT40:BU40),TblJoistSize!$M$3:$N$10,2),IF(OR(DE40="B", DE40="G"),MAX(BW40:BX40),""))</f>
        <v/>
      </c>
      <c r="FC40" s="840" t="str">
        <f t="shared" si="57"/>
        <v/>
      </c>
      <c r="FD40" s="838">
        <f t="shared" si="58"/>
        <v>0</v>
      </c>
      <c r="FE40" s="838">
        <f t="shared" si="59"/>
        <v>0</v>
      </c>
      <c r="FF40" s="839">
        <f t="shared" si="60"/>
        <v>0</v>
      </c>
      <c r="FG40" s="839" t="str">
        <f t="shared" si="61"/>
        <v/>
      </c>
      <c r="FH40" s="838" t="str">
        <f t="shared" si="62"/>
        <v/>
      </c>
      <c r="FI40" s="838">
        <f t="shared" si="63"/>
        <v>0</v>
      </c>
      <c r="FJ40" s="838">
        <f t="shared" si="64"/>
        <v>0</v>
      </c>
      <c r="FK40" s="839">
        <f t="shared" si="65"/>
        <v>0</v>
      </c>
      <c r="FL40" s="839" t="str">
        <f t="shared" si="66"/>
        <v/>
      </c>
      <c r="FM40" s="838" t="str">
        <f t="shared" si="67"/>
        <v/>
      </c>
      <c r="FN40" s="838" t="e">
        <f t="shared" si="68"/>
        <v>#VALUE!</v>
      </c>
      <c r="FO40" s="1387" t="e">
        <f t="shared" si="69"/>
        <v>#VALUE!</v>
      </c>
      <c r="FP40" s="1387" t="e">
        <f t="shared" si="70"/>
        <v>#VALUE!</v>
      </c>
      <c r="FQ40" s="841" t="e">
        <f t="shared" si="71"/>
        <v>#VALUE!</v>
      </c>
      <c r="FR40" s="842" t="e">
        <f t="shared" si="72"/>
        <v>#VALUE!</v>
      </c>
      <c r="FS40" s="843" t="str">
        <f t="shared" si="73"/>
        <v/>
      </c>
      <c r="FT40" s="844" t="str">
        <f t="shared" si="74"/>
        <v/>
      </c>
      <c r="FU40" s="1011">
        <f t="shared" si="75"/>
        <v>0</v>
      </c>
      <c r="FV40" s="1012">
        <f t="shared" si="76"/>
        <v>0</v>
      </c>
      <c r="GA40" s="1791" t="str">
        <f t="shared" si="120"/>
        <v/>
      </c>
      <c r="GB40" s="1792" t="str">
        <f t="shared" si="121"/>
        <v/>
      </c>
      <c r="GC40" s="1793" t="str">
        <f t="shared" si="122"/>
        <v/>
      </c>
      <c r="GD40" s="1794" t="str">
        <f t="shared" si="123"/>
        <v/>
      </c>
      <c r="GE40" s="1795" t="str">
        <f t="shared" si="77"/>
        <v/>
      </c>
      <c r="GF40" s="600" t="str">
        <f t="shared" si="78"/>
        <v/>
      </c>
      <c r="GG40" s="1132"/>
      <c r="GH40" s="1133"/>
      <c r="GI40" s="1132"/>
      <c r="GJ40" s="1133"/>
      <c r="GK40" s="1636">
        <f t="shared" si="79"/>
        <v>0</v>
      </c>
      <c r="GL40" s="1636" t="e">
        <f t="shared" si="80"/>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88</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88</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4">IF(GF57="","",BE57)</f>
        <v/>
      </c>
      <c r="GB57" s="619" t="str">
        <f t="shared" ref="GB57" si="125">IF(GF57="","",BF57)</f>
        <v/>
      </c>
      <c r="GC57" s="621" t="str">
        <f t="shared" ref="GC57" si="126">IF(GF57="","",IF(CV57="",0,CV57))</f>
        <v/>
      </c>
      <c r="GD57" s="622" t="str">
        <f t="shared" ref="GD57" si="127">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t="s">
        <v>1645</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qh0XdPiudLX4V94l1llzwCUJvDxAXm7gzWGuAlxw6j845hIF7fuR5xwbaUXyp8G+0t4xxkrg5tzdR3eqBoRDhw==" saltValue="kQtpNYlQP8+ktIoVpDrD+A==" spinCount="100000" sheet="1" objects="1" scenarios="1" selectLockedCells="1"/>
  <dataConsolidate link="1"/>
  <mergeCells count="19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CW21:CW22"/>
    <mergeCell ref="CX21:CX22"/>
    <mergeCell ref="CY21:CY22"/>
    <mergeCell ref="BY21:BY22"/>
    <mergeCell ref="BZ21:BZ22"/>
    <mergeCell ref="CA21:CA22"/>
    <mergeCell ref="CB21:CD21"/>
    <mergeCell ref="CH21:CJ21"/>
    <mergeCell ref="CK21:CK22"/>
    <mergeCell ref="CS19:CS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GZ17:GZ18"/>
    <mergeCell ref="M7:S7"/>
    <mergeCell ref="C9:O9"/>
    <mergeCell ref="S9:AA9"/>
    <mergeCell ref="C10:O10"/>
    <mergeCell ref="S10:W10"/>
    <mergeCell ref="Z10:AA10"/>
    <mergeCell ref="P1:S1"/>
    <mergeCell ref="P2:S3"/>
    <mergeCell ref="P4:S4"/>
    <mergeCell ref="A5:M5"/>
    <mergeCell ref="M6:T6"/>
    <mergeCell ref="Y6:Z6"/>
  </mergeCells>
  <conditionalFormatting sqref="BD23:BD40">
    <cfRule type="expression" dxfId="515" priority="32">
      <formula>AND(NOT($AY23),NOT($AP23))</formula>
    </cfRule>
  </conditionalFormatting>
  <conditionalFormatting sqref="EF69 EF23:EF40">
    <cfRule type="cellIs" dxfId="514" priority="33" stopIfTrue="1" operator="notEqual">
      <formula>$EG23</formula>
    </cfRule>
  </conditionalFormatting>
  <conditionalFormatting sqref="EM69 EM23:EM40">
    <cfRule type="cellIs" dxfId="513" priority="34" stopIfTrue="1" operator="notEqual">
      <formula>$EN23</formula>
    </cfRule>
  </conditionalFormatting>
  <conditionalFormatting sqref="CB69:CC69">
    <cfRule type="cellIs" dxfId="512" priority="35" stopIfTrue="1" operator="equal">
      <formula>0</formula>
    </cfRule>
    <cfRule type="expression" dxfId="511" priority="36" stopIfTrue="1">
      <formula>OR(CB69&lt;0,CB69&gt;FU69)</formula>
    </cfRule>
  </conditionalFormatting>
  <conditionalFormatting sqref="P2:S4">
    <cfRule type="cellIs" dxfId="510" priority="37" stopIfTrue="1" operator="equal">
      <formula>""</formula>
    </cfRule>
  </conditionalFormatting>
  <conditionalFormatting sqref="CC16">
    <cfRule type="expression" dxfId="509" priority="38" stopIfTrue="1">
      <formula>ISBLANK($CC$16)</formula>
    </cfRule>
  </conditionalFormatting>
  <conditionalFormatting sqref="CC15">
    <cfRule type="expression" dxfId="508" priority="39" stopIfTrue="1">
      <formula>ISBLANK($CC$15)</formula>
    </cfRule>
  </conditionalFormatting>
  <conditionalFormatting sqref="M7">
    <cfRule type="expression" dxfId="507" priority="40" stopIfTrue="1">
      <formula>NOT(OR(COUNTIF(masterFinishList, $M$7) &gt; 0, COUNTIF($M$7, "Other:*") &gt; 0))</formula>
    </cfRule>
  </conditionalFormatting>
  <conditionalFormatting sqref="U23:U40">
    <cfRule type="expression" dxfId="506" priority="29">
      <formula>AND(NOT($AY23),NOT(AR23),$P23&lt;&gt;3)</formula>
    </cfRule>
  </conditionalFormatting>
  <conditionalFormatting sqref="W23:W40">
    <cfRule type="expression" dxfId="505" priority="31">
      <formula>AND(NOT($AY23),NOT(AT23),$S23&lt;&gt;3)</formula>
    </cfRule>
  </conditionalFormatting>
  <conditionalFormatting sqref="A23:B40">
    <cfRule type="expression" dxfId="504" priority="16">
      <formula>AND(NOT($AE$1),$B23=0,$AD$1="M")</formula>
    </cfRule>
  </conditionalFormatting>
  <conditionalFormatting sqref="T23:T40">
    <cfRule type="expression" dxfId="503" priority="28">
      <formula>AND(NOT($AY23),NOT(AR23),$P23&lt;&gt;3)</formula>
    </cfRule>
  </conditionalFormatting>
  <conditionalFormatting sqref="V23:V40">
    <cfRule type="expression" dxfId="502" priority="30">
      <formula>AND(NOT($AY23),NOT(AT23),$S23&lt;&gt;3)</formula>
    </cfRule>
  </conditionalFormatting>
  <conditionalFormatting sqref="C23:C40">
    <cfRule type="expression" dxfId="501" priority="17">
      <formula>AND(NOT($AY23),NOT($AP23))</formula>
    </cfRule>
  </conditionalFormatting>
  <conditionalFormatting sqref="M7:S7">
    <cfRule type="expression" dxfId="500" priority="27">
      <formula>OR(ISBLANK($M$7),$M$7="")</formula>
    </cfRule>
  </conditionalFormatting>
  <conditionalFormatting sqref="X23:X40">
    <cfRule type="expression" dxfId="499" priority="14">
      <formula>$X23=0</formula>
    </cfRule>
  </conditionalFormatting>
  <conditionalFormatting sqref="BO23:BO40">
    <cfRule type="expression" dxfId="498" priority="23">
      <formula>AND(BO23="X",CY23="")</formula>
    </cfRule>
    <cfRule type="expression" dxfId="497" priority="24">
      <formula>AND(BO23="",CY23&lt;&gt;"")</formula>
    </cfRule>
  </conditionalFormatting>
  <conditionalFormatting sqref="CA23:CA40">
    <cfRule type="expression" dxfId="496" priority="25">
      <formula>AND(CA23="X",DI23="")</formula>
    </cfRule>
    <cfRule type="expression" dxfId="495" priority="26">
      <formula>AND(CA23="",DI23&lt;&gt;"")</formula>
    </cfRule>
  </conditionalFormatting>
  <conditionalFormatting sqref="BQ23:BQ40">
    <cfRule type="expression" dxfId="494" priority="22">
      <formula>CP23&lt;&gt;""</formula>
    </cfRule>
  </conditionalFormatting>
  <conditionalFormatting sqref="CC23:CC40">
    <cfRule type="expression" dxfId="493" priority="21">
      <formula>CQ23&lt;&gt;""</formula>
    </cfRule>
  </conditionalFormatting>
  <conditionalFormatting sqref="CG23:CG40">
    <cfRule type="expression" dxfId="492" priority="41">
      <formula>OR(CH23&lt;&gt;"",CI23&lt;&gt;"",CJ23&lt;&gt;"",CK23&lt;&gt;"",CL23&lt;&gt;"",CM23&lt;&gt;"",CP23&lt;&gt;"",CQ23&lt;&gt;"")</formula>
    </cfRule>
  </conditionalFormatting>
  <conditionalFormatting sqref="BE23:BF40">
    <cfRule type="expression" dxfId="491" priority="42">
      <formula>AND(NOT($AY23),AND($AZ23,AND($AK23&lt;&gt;"HDR",$AK23&lt;&gt;"JS",$AJ23&gt;=8)))</formula>
    </cfRule>
  </conditionalFormatting>
  <conditionalFormatting sqref="D23:E40">
    <cfRule type="expression" dxfId="490" priority="20">
      <formula>AND(NOT($AY23),AND($AZ23,AND($AK23&lt;&gt;"HDR",$AK23&lt;&gt;"JS",$AJ23&gt;=8)))</formula>
    </cfRule>
  </conditionalFormatting>
  <conditionalFormatting sqref="CF23:CG40">
    <cfRule type="expression" dxfId="489" priority="19">
      <formula>LEN($AA23)&gt;31</formula>
    </cfRule>
  </conditionalFormatting>
  <conditionalFormatting sqref="AA12">
    <cfRule type="expression" dxfId="488" priority="18">
      <formula>OR(ISBLANK(AA12),AA12="")</formula>
    </cfRule>
  </conditionalFormatting>
  <conditionalFormatting sqref="A23:AA40">
    <cfRule type="expression" dxfId="487" priority="43">
      <formula>$AC23</formula>
    </cfRule>
  </conditionalFormatting>
  <conditionalFormatting sqref="AA23:AA40">
    <cfRule type="expression" dxfId="486" priority="15">
      <formula>AND(NOT($AY23),LEN(AA23)&gt;31)</formula>
    </cfRule>
  </conditionalFormatting>
  <conditionalFormatting sqref="GA23:GB40">
    <cfRule type="expression" dxfId="485" priority="13" stopIfTrue="1">
      <formula>$GM23&gt;=0.125</formula>
    </cfRule>
  </conditionalFormatting>
  <conditionalFormatting sqref="EF43">
    <cfRule type="cellIs" dxfId="484" priority="12" stopIfTrue="1" operator="notEqual">
      <formula>$EG43</formula>
    </cfRule>
  </conditionalFormatting>
  <conditionalFormatting sqref="U57">
    <cfRule type="expression" dxfId="483" priority="8">
      <formula>AND(NOT($AY57),NOT(AR57),$P57&lt;&gt;3)</formula>
    </cfRule>
  </conditionalFormatting>
  <conditionalFormatting sqref="W57">
    <cfRule type="expression" dxfId="482" priority="10">
      <formula>AND(NOT($AY57),NOT(AT57),$S57&lt;&gt;3)</formula>
    </cfRule>
  </conditionalFormatting>
  <conditionalFormatting sqref="A57:B57">
    <cfRule type="expression" dxfId="481" priority="4">
      <formula>AND(NOT($AE$1),$B57=0,$AD$1="M")</formula>
    </cfRule>
  </conditionalFormatting>
  <conditionalFormatting sqref="T57">
    <cfRule type="expression" dxfId="480" priority="7">
      <formula>AND(NOT($AY57),NOT(AR57),$P57&lt;&gt;3)</formula>
    </cfRule>
  </conditionalFormatting>
  <conditionalFormatting sqref="V57">
    <cfRule type="expression" dxfId="479" priority="9">
      <formula>AND(NOT($AY57),NOT(AT57),$S57&lt;&gt;3)</formula>
    </cfRule>
  </conditionalFormatting>
  <conditionalFormatting sqref="C57">
    <cfRule type="expression" dxfId="478" priority="5">
      <formula>AND(NOT($AY57),NOT($AP57))</formula>
    </cfRule>
  </conditionalFormatting>
  <conditionalFormatting sqref="X57">
    <cfRule type="expression" dxfId="477" priority="2">
      <formula>$X57=0</formula>
    </cfRule>
  </conditionalFormatting>
  <conditionalFormatting sqref="D57:E57">
    <cfRule type="expression" dxfId="476" priority="6">
      <formula>AND(NOT($AY57),AND($AZ57,AND($AK57&lt;&gt;"HDR",$AK57&lt;&gt;"JS",$AJ57&gt;=8)))</formula>
    </cfRule>
  </conditionalFormatting>
  <conditionalFormatting sqref="A57:AA57">
    <cfRule type="expression" dxfId="475" priority="11">
      <formula>$AC57</formula>
    </cfRule>
  </conditionalFormatting>
  <conditionalFormatting sqref="AA57">
    <cfRule type="expression" dxfId="474" priority="3">
      <formula>AND(NOT($AY57),LEN(AA57)&gt;31)</formula>
    </cfRule>
  </conditionalFormatting>
  <conditionalFormatting sqref="BB23:BC40">
    <cfRule type="expression" dxfId="473" priority="44">
      <formula>AND(NOT($AE$1),$B23=0,$AD$1="M")</formula>
    </cfRule>
  </conditionalFormatting>
  <conditionalFormatting sqref="CE23:CG40">
    <cfRule type="expression" dxfId="472" priority="45">
      <formula>$AC23</formula>
    </cfRule>
  </conditionalFormatting>
  <conditionalFormatting sqref="BB23:CD40">
    <cfRule type="expression" dxfId="471" priority="46">
      <formula>$AC23</formula>
    </cfRule>
  </conditionalFormatting>
  <conditionalFormatting sqref="BS23:BS40">
    <cfRule type="expression" dxfId="470" priority="47">
      <formula>AND(NOT($AY23),ISERROR(DE23))</formula>
    </cfRule>
    <cfRule type="expression" dxfId="469" priority="48">
      <formula>AND(NOT($AY23),OR(DE23="", CQ23&lt;&gt;""))</formula>
    </cfRule>
  </conditionalFormatting>
  <conditionalFormatting sqref="BG23:BG40">
    <cfRule type="expression" dxfId="468" priority="49">
      <formula>AND(NOT($AY23),ISERROR(CU23))</formula>
    </cfRule>
    <cfRule type="expression" dxfId="467" priority="50">
      <formula>AND(NOT($AY23),OR(CP23&lt;&gt;"", CU23=""))</formula>
    </cfRule>
  </conditionalFormatting>
  <conditionalFormatting sqref="BH23:BH40">
    <cfRule type="expression" dxfId="466" priority="51">
      <formula>AND(NOT($AY23),OR($CU23="M",$CU23="C",AND($CU23="B",$DC23&gt;0)))</formula>
    </cfRule>
    <cfRule type="expression" dxfId="465" priority="52">
      <formula>AND(NOT($AY23),AND(BH23="",BI23="",OR($CU23="B",$CU23="G")))</formula>
    </cfRule>
    <cfRule type="expression" dxfId="464" priority="53">
      <formula>AND(NOT($AY23),(BH23/2)/COS(RADIANS(BM23))+CV23-DW23&lt;VLOOKUP(AU23,$DF$2:$DJ$9,5,FALSE))</formula>
    </cfRule>
  </conditionalFormatting>
  <conditionalFormatting sqref="BI23:BI40">
    <cfRule type="expression" dxfId="463" priority="54">
      <formula>AND(NOT($AY23),OR($CU23="M",$CU23="C",AND($CU23="B",$DC23&gt;0)))</formula>
    </cfRule>
    <cfRule type="expression" dxfId="462" priority="55">
      <formula>AND(NOT($AY23),AND(BH23="",BI23="",OR($CU23="B",$CU23="G")))</formula>
    </cfRule>
    <cfRule type="expression" dxfId="461" priority="56">
      <formula>AND(NOT($AY23),(BI23/2)/COS(RADIANS(BM23))+CV23-DW23&lt;VLOOKUP(AU23,$DF$2:$DJ$9,5,FALSE))</formula>
    </cfRule>
  </conditionalFormatting>
  <conditionalFormatting sqref="BK23:BK40">
    <cfRule type="expression" dxfId="460" priority="57">
      <formula>AND(NOT($AY23),OR($CU23="M",$CU23="C",AND($CU23="B",$DA23&lt;&gt;"")))</formula>
    </cfRule>
    <cfRule type="expression" dxfId="459" priority="58">
      <formula>AND(NOT($AY23),AND(BJ23="X",BK23="",BL23=""))</formula>
    </cfRule>
    <cfRule type="expression" dxfId="458" priority="59">
      <formula>AND(NOT($AY23),EZ23="ERR")</formula>
    </cfRule>
  </conditionalFormatting>
  <conditionalFormatting sqref="BL23:BL40">
    <cfRule type="expression" dxfId="457" priority="60">
      <formula>AND(NOT($AY23),OR($CU23="M",$CU23="C",AND($CU23="B",$DA23&lt;&gt;"")))</formula>
    </cfRule>
    <cfRule type="expression" dxfId="456" priority="61">
      <formula>AND(NOT($AY23),AND(BJ23="X",BK23="",BL23=""))</formula>
    </cfRule>
    <cfRule type="expression" dxfId="455" priority="62">
      <formula>AND(NOT($AY23),EZ23="ERR")</formula>
    </cfRule>
  </conditionalFormatting>
  <conditionalFormatting sqref="BW23:BW40">
    <cfRule type="expression" dxfId="454" priority="63">
      <formula>AND(NOT($AY23),OR($DE23="M",$DE23="C",AND($DE23="B",$DK23&lt;&gt;"")))</formula>
    </cfRule>
    <cfRule type="expression" dxfId="453" priority="64">
      <formula>AND(NOT($AY23),AND(BV23="X",BW23="",BX23=""))</formula>
    </cfRule>
    <cfRule type="expression" dxfId="452" priority="65">
      <formula>AND(NOT($AY23),FC23="ERR")</formula>
    </cfRule>
  </conditionalFormatting>
  <conditionalFormatting sqref="BX23:BX40">
    <cfRule type="expression" dxfId="451" priority="66">
      <formula>AND(NOT($AY23),OR($DE23="M",$DE23="C",AND($DE23="B",$DK23&lt;&gt;"")))</formula>
    </cfRule>
    <cfRule type="expression" dxfId="450" priority="67">
      <formula>AND(NOT($AY23),AND(BV23="X",BW23="",BX23=""))</formula>
    </cfRule>
    <cfRule type="expression" dxfId="449" priority="68">
      <formula>AND(NOT($AY23),FC23="ERR")</formula>
    </cfRule>
  </conditionalFormatting>
  <conditionalFormatting sqref="BT23:BT40">
    <cfRule type="expression" dxfId="448" priority="69">
      <formula>AND(NOT($AY23),OR($DE23="M",$DE23="C",AND($DE23="B",$DM23&gt;0)))</formula>
    </cfRule>
    <cfRule type="expression" dxfId="447" priority="70">
      <formula>AND(NOT($AY23),AND(BT23="",BU23="",OR($DE23="B",$DE23="G")))</formula>
    </cfRule>
    <cfRule type="expression" dxfId="446" priority="71">
      <formula>AND(NOT($AY23),(BT23/2)/COS(RADIANS(BY23))+DF23-EC23&lt;VLOOKUP(AU23,$DF$2:$DJ$9,5,FALSE))</formula>
    </cfRule>
  </conditionalFormatting>
  <conditionalFormatting sqref="BU23:BU40">
    <cfRule type="expression" dxfId="445" priority="72">
      <formula>AND(NOT($AY23),OR($DE23="M",$DE23="C",AND($DE23="B",$DM23&gt;0)))</formula>
    </cfRule>
    <cfRule type="expression" dxfId="444" priority="73">
      <formula>AND(NOT($AY23),AND(BT23="",BU23="",OR($DE23="B",$DE23="G")))</formula>
    </cfRule>
    <cfRule type="expression" dxfId="443" priority="74">
      <formula>AND(NOT($AY23),(BU23/2)/COS(RADIANS(BY23))+DF23-EC23&lt;VLOOKUP(AU23,$DF$2:$DJ$9,5,FALSE))</formula>
    </cfRule>
  </conditionalFormatting>
  <conditionalFormatting sqref="BZ23:BZ40 BN23:BN40">
    <cfRule type="expression" dxfId="442" priority="75">
      <formula>AND(NOT($AY23),AND(ISBLANK(BN23),AND(NOT(ISBLANK(BM23)),$CE23&lt;&gt;0)))</formula>
    </cfRule>
  </conditionalFormatting>
  <conditionalFormatting sqref="BJ23:BJ40">
    <cfRule type="expression" dxfId="441" priority="76">
      <formula>AND(NOT($AY23),OR($CU23="C",AND($CU23="M",$DA23&gt;0)))</formula>
    </cfRule>
    <cfRule type="expression" dxfId="440" priority="77">
      <formula>AND(NOT($AY23),OR(NOT(IF(AND(OR(MID($BB23,1,1)="T",($BE23+$BF23/12)/IF(ABS($CE23)&gt;$DQ$1,COS($DO23),1)&gt;=40),OR($CU23="B",$CU23="G")),"X","")="X"),$EZ23="ERR"))</formula>
    </cfRule>
    <cfRule type="expression" dxfId="439" priority="78">
      <formula>AND(NOT($AY23),$BJ23&lt;&gt;"X",$BJ23&lt;&gt;IF(AND(OR(MID(BB23,1,1)="T",($BE23+$BF23/12)/IF(ABS($CE23)&gt;$DQ$1,COS($DO23),1)&gt;=40),OR($CU23="B",$CU23="G")),"X",""))</formula>
    </cfRule>
  </conditionalFormatting>
  <conditionalFormatting sqref="BV23:BV40">
    <cfRule type="expression" dxfId="438" priority="79">
      <formula>AND(NOT($AY23),OR($DE23="C",AND($DE23="M",$DK23&gt;0)))</formula>
    </cfRule>
    <cfRule type="expression" dxfId="437" priority="80">
      <formula>AND(NOT($AY23),OR(NOT(IF(AND(OR(MID($BB23,1,1)="T",($BE23+$BF23/12)/IF(ABS($CE23)&gt;$DQ$1,COS($DO23),1)&gt;=40),OR($DE23="B",$DE23="G")),"X","")="X"),$FC23="ERR"))</formula>
    </cfRule>
    <cfRule type="expression" dxfId="436" priority="81">
      <formula>AND(NOT($AY23),$BV23&lt;&gt;"X",$BV23&lt;&gt;IF(AND(OR(MID(BB23,1,1)="T",($BE23+$BF23/12)/IF(ABS($CE23)&gt;$DQ$1,COS($DO23),1)&gt;=40),OR($DE23="B",$DE23="G")),"X",""))</formula>
    </cfRule>
  </conditionalFormatting>
  <conditionalFormatting sqref="GA57:GB57">
    <cfRule type="expression" dxfId="435" priority="1" stopIfTrue="1">
      <formula>$GM57&gt;=0.125</formula>
    </cfRule>
  </conditionalFormatting>
  <conditionalFormatting sqref="D23:E40">
    <cfRule type="expression" dxfId="434" priority="82" stopIfTrue="1">
      <formula xml:space="preserve"> AND($GM23 &gt;= 0.125, $GL23 &gt; 0)</formula>
    </cfRule>
  </conditionalFormatting>
  <dataValidations count="15">
    <dataValidation type="whole" operator="greaterThan" allowBlank="1" showInputMessage="1" showErrorMessage="1" errorTitle="Quantity Error" error="Value must be an integer greater than -1000." sqref="B23:B40 BC23:BC40" xr:uid="{8837CED9-84CF-4C35-9EDD-83F6206D8B9E}">
      <formula1>-1001</formula1>
    </dataValidation>
    <dataValidation type="decimal" operator="greaterThan" allowBlank="1" showInputMessage="1" showErrorMessage="1" errorTitle="Input Error" error="Positive Numeric Values Only!" sqref="BR23:BR40 CD23:CD40" xr:uid="{FA8A8DEF-6724-4FA0-B57D-02EBFF5506DF}">
      <formula1>0</formula1>
    </dataValidation>
    <dataValidation type="whole" operator="greaterThanOrEqual" allowBlank="1" showInputMessage="1" showErrorMessage="1" errorTitle="Input Error" error="Positive Integers Only!" sqref="GA23:GA40 GA57" xr:uid="{0DE0C9B8-401B-48BD-9F5A-FC9B77C429D2}">
      <formula1>0</formula1>
    </dataValidation>
    <dataValidation type="decimal" allowBlank="1" showInputMessage="1" showErrorMessage="1" errorTitle="Input Error" error="Numbers from 0&quot; to 11 7/8&quot; only!" sqref="GB23:GB40 GB57" xr:uid="{EFA0BC3C-D3CE-45A5-90A4-300F27473067}">
      <formula1>0</formula1>
      <formula2>11.875</formula2>
    </dataValidation>
    <dataValidation type="decimal" allowBlank="1" showInputMessage="1" showErrorMessage="1" errorTitle="Input Error" error="Numeric Values Only!" sqref="GC23:GD40 GC57:GD57 BP23:BP40 CB23:CB40" xr:uid="{42A4FD48-4B4F-4AA0-ACC6-386F033DA903}">
      <formula1>-1200</formula1>
      <formula2>1200</formula2>
    </dataValidation>
    <dataValidation type="custom" allowBlank="1" showInputMessage="1" showErrorMessage="1" errorTitle="Input Error:" error="Value must be &quot;X&quot; or a Number that Over-rides the BCX Dimension in the Section." sqref="BO23:BO40 CA23:CA40" xr:uid="{46CAFEA3-73E7-4FAF-9ADF-0BD00E239183}">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CB077563-EC2C-44B1-AB81-2EA7019AF1F2}">
      <formula1>$DF23</formula1>
    </dataValidation>
    <dataValidation type="decimal" operator="lessThanOrEqual" allowBlank="1" showInputMessage="1" errorTitle="BL Over-Ride Error!" error="Base Length can't be past Joist Overall Length!  See section for Maximum Over-Ride Dimension." sqref="BQ23:BQ40" xr:uid="{8DC2DD95-038C-4FE0-B385-FB11085D08C1}">
      <formula1>$CV23</formula1>
    </dataValidation>
    <dataValidation type="decimal" operator="greaterThan" allowBlank="1" showInputMessage="1" showErrorMessage="1" errorTitle="Dimensional Error" error="Only positive numeric values permitted here." sqref="L23:M40 L57:M57" xr:uid="{DD3B2D01-F922-46C0-AA46-DAC00C9A8E2C}">
      <formula1>0</formula1>
    </dataValidation>
    <dataValidation type="whole" operator="notBetween" allowBlank="1" showInputMessage="1" showErrorMessage="1" sqref="B57" xr:uid="{FCB9AC24-7B0F-4938-8678-3258666CA0EF}">
      <formula1>-10001</formula1>
      <formula2>-10000</formula2>
    </dataValidation>
    <dataValidation type="decimal" operator="notEqual" allowBlank="1" showInputMessage="1" showErrorMessage="1" errorTitle="Input Error" error="Enter + or - Numbers Only._x000a_Do NOT use &quot;&lt;&quot; or &quot;&gt;&quot;." sqref="Y23:Z40 Y57:Z57" xr:uid="{602BB548-F276-4255-B9E4-A30ADA12A25E}">
      <formula1>0</formula1>
    </dataValidation>
    <dataValidation type="decimal" operator="greaterThanOrEqual" allowBlank="1" showInputMessage="1" showErrorMessage="1" errorTitle="Dimensional Error" error="&quot;Inches&quot; must be a number." sqref="BH23:BI40 BK23:BL40 BT23:BU40 BW23:BX40" xr:uid="{E38B7667-DC1A-4E7A-9C1B-162160AB81C5}">
      <formula1>0</formula1>
    </dataValidation>
    <dataValidation type="decimal" allowBlank="1" showInputMessage="1" showErrorMessage="1" errorTitle="Dimensional Error" error="&quot;Inches&quot; must be a number from 0 to 11.875." sqref="BF23:BF40 E23:E40 W23:W40 G23:G40 J23:J40 U23:U40 E57 W57 G57 J57 U57" xr:uid="{8917C1CF-7011-4E70-BABD-A6D33C5BC4EF}">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FFEA9D27-E231-4F66-9664-553D4ECE3C94}">
      <formula1>0</formula1>
    </dataValidation>
    <dataValidation type="list" allowBlank="1" showInputMessage="1" sqref="M7:S7 CC15:CF15" xr:uid="{EB731A14-B24C-487D-BFA2-CB0795A3C1F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66D5-30CE-4DA0-9090-6900AA046CD0}">
  <sheetPr codeName="Sheet33">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16 of 19</v>
      </c>
      <c r="Z7" s="658"/>
      <c r="AA7" s="374"/>
      <c r="AC7" s="1083">
        <v>16</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1447</v>
      </c>
      <c r="B16" s="1681">
        <v>1</v>
      </c>
      <c r="C16" s="1449" t="s">
        <v>1592</v>
      </c>
      <c r="D16" s="1705">
        <v>40</v>
      </c>
      <c r="E16" s="1706">
        <v>0</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v>0</v>
      </c>
      <c r="O16" s="1709">
        <v>6.75</v>
      </c>
      <c r="P16" s="1710">
        <v>2</v>
      </c>
      <c r="Q16" s="1705" t="str">
        <f t="shared" ref="Q16:Q45" si="7">IF(ET16="","",IF(AND(ET16&lt;0,ET16&gt;-12),TRUNC(ET16/12)-0.0000001,TRUNC(ET16/12)))</f>
        <v/>
      </c>
      <c r="R16" s="1709" t="str">
        <f t="shared" ref="R16:R45" si="8">IF(ET16="","",IF(AND(ET16-(Q16*12)=0,ET16&lt;0),-0.000001,ET16-(Q16*12)))</f>
        <v/>
      </c>
      <c r="S16" s="1711" t="str">
        <f t="shared" ref="S16:S45" si="9">IF(ET16="","",IF(OR(DG16="Q",DG16="C"),3,DJ16))</f>
        <v/>
      </c>
      <c r="T16" s="1714">
        <v>0</v>
      </c>
      <c r="U16" s="1709">
        <v>2.25</v>
      </c>
      <c r="V16" s="1705">
        <v>0</v>
      </c>
      <c r="W16" s="1709">
        <v>2</v>
      </c>
      <c r="X16" s="1713">
        <v>4</v>
      </c>
      <c r="Y16" s="1781" t="str">
        <f t="shared" ref="Y16:Y44" si="10">FG16</f>
        <v/>
      </c>
      <c r="Z16" s="1782" t="str">
        <f t="shared" ref="Z16:Z44" si="11">FL16</f>
        <v/>
      </c>
      <c r="AA16" s="1783" t="s">
        <v>1721</v>
      </c>
      <c r="AB16" s="1413"/>
      <c r="AC16" s="964" t="b">
        <v>0</v>
      </c>
      <c r="AD16" s="441">
        <f t="shared" ref="AD16:AD45" si="12">IF($C16="",0,IF(SUM(AE16:AG16)&gt;0,0,IF(ISERROR(SEARCH("K",$C16,1))=TRUE,0,$B16)))</f>
        <v>0</v>
      </c>
      <c r="AE16" s="442">
        <f t="shared" ref="AE16:AE45" si="13">IF(ISERROR(SEARCH("LH",$C16,1))=TRUE,0,$B16)</f>
        <v>1</v>
      </c>
      <c r="AF16" s="442">
        <f t="shared" ref="AF16:AF45" si="14">IF(ISERROR(SEARCH("JS",$C16))=TRUE,IF(ISERROR(SEARCH("2.5K",$C16))=TRUE,0,$B16),$B16)</f>
        <v>0</v>
      </c>
      <c r="AG16" s="442">
        <f t="shared" ref="AG16:AG45" si="15">IF(ISERROR(SEARCH("HDR",$C16,1))=TRUE,0,$B16)</f>
        <v>0</v>
      </c>
      <c r="AH16" s="443">
        <f t="shared" ref="AH16:AH45" si="16">IF(ISERROR(SEARCH("CJ",$C16,1))=TRUE,0,$B16)</f>
        <v>0</v>
      </c>
      <c r="AI16" s="444" t="b">
        <v>0</v>
      </c>
      <c r="AJ16" s="238">
        <f t="shared" ref="AJ16:AJ45" si="17">IF(OR(ISERROR(VALUE(LEFT(C16,SEARCH(AK16,C16)-1))),AK16=""),0,VALUE(LEFT(C16,SEARCH(AK16,C16)-1)))</f>
        <v>32</v>
      </c>
      <c r="AK16" s="830" t="str">
        <f t="shared" ref="AK16:AK45" si="18">IF(AV16="",AW16,AV16)</f>
        <v>LH</v>
      </c>
      <c r="AL16" s="945" t="str">
        <f t="shared" ref="AL16:AL45" si="19">IF(AK16="","",IF(ISERROR(SEARCH("/",C16)),IF(VALUE(MID(C16,SEARCH(AK16,C16)+LEN(AK16),LEN(C16)))&gt;25,"",VALUE(MID(C16,SEARCH(AK16,C16)+LEN(AK16),LEN(C16)))),""))</f>
        <v/>
      </c>
      <c r="AM16" s="830">
        <f t="shared" ref="AM16:AM45" si="20">IF(AK16="","",IF(ISERROR(SEARCH("/",C16)),IF(VALUE(MID(C16,SEARCH(AK16,C16)+LEN(AK16),LEN(C16)))&lt;26,"",VALUE(MID(C16,SEARCH(AK16,C16)+LEN(AK16),LEN(C16)))),VALUE(MID(C16,SEARCH(AK16,C16)+LEN(AK16),SEARCH("/",C16)-SEARCH(AK16,C16)-LEN(AK16)))))</f>
        <v>305</v>
      </c>
      <c r="AN16" s="830">
        <f t="shared" ref="AN16:AN45" si="21">IF(AK16="","",IF(AK16="CJ",MID(MID(C16,SEARCH("/",C16)+1,LEN(C16)),1,SEARCH("/",MID(C16,SEARCH("/",C16)+1,LEN(C16)))-1),IF(ISERROR(SEARCH("/",C16)),"",VALUE(MID(C16,SEARCH("/",C16)+1,LEN(C16))))))</f>
        <v>180</v>
      </c>
      <c r="AO16" s="830" t="str">
        <f t="shared" ref="AO16:AO45" si="22">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3">VLOOKUP(AK16,$DF$2:$DN$9,4,FALSE)+IF(LEFT(H16,1)="R",IF(ISNUMBER(F16),F16*12,0)+IF(ISNUMBER(G16),G16,0),0)</f>
        <v>6</v>
      </c>
      <c r="AR16" s="945" t="b">
        <f t="shared" ref="AR16:AR45" si="24">IF(IF(ISNUMBER(T16),T16*12,0)+IF(ISNUMBER(U16),U16,0)&gt;0,IF(AND(IF(ISNUMBER(T16),T16*12,0)+IF(ISNUMBER(U16),U16,0)&gt;=VLOOKUP(AU16,$DF$2:$DN$9,8,FALSE)/2+$DQ$2,IF(ISNUMBER(T16),T16*12,0)+IF(ISNUMBER(U16),U16,0)&lt;=(AQ16-(VLOOKUP(AU16,$DF$2:$DN$9,8,FALSE)/2+$DQ$2))+IF(H16="X",2,0)),TRUE,FALSE),FALSE)</f>
        <v>1</v>
      </c>
      <c r="AS16" s="1038">
        <f t="shared" ref="AS16:AS45" si="25">VLOOKUP(AK16,$DF$2:$DN$9,4,FALSE)+IF(LEFT(K16,1)="R",(IF(ISNUMBER(I16),I16*12,0)+IF(ISNUMBER(J16),J16,0)),0)</f>
        <v>6</v>
      </c>
      <c r="AT16" s="945" t="b">
        <f t="shared" ref="AT16:AT45" si="26">IF(IF(ISNUMBER(V16),V16*12,0)+IF(ISNUMBER(W16),W16,0)&gt;0,IF(AND((IF(ISNUMBER(V16),V16*12,0)+IF(ISNUMBER(W16),W16,0))&gt;=VLOOKUP(AU16,$DF$2:$DN$9,8,FALSE)/2+$DQ$2,(IF(ISNUMBER(V16),V16*12,0)+IF(ISNUMBER(W16),W16,0))&lt;=(AS16-(VLOOKUP(AU16,$DF$2:$DN$9,8,FALSE)/2+$DQ$2))+IF(K16="X",2,0)),TRUE,FALSE),FALSE)</f>
        <v>1</v>
      </c>
      <c r="AU16" s="946" t="str">
        <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28">IF(NOT(ISERROR(SEARCH("KCSR",C16))),"KCSR",IF(NOT(ISERROR(SEARCH("KCSA",C16))),"KCSA",IF(NOT(ISERROR(SEARCH("KCS",C16))),"KCS",IF(NOT(ISERROR(SEARCH("KR",C16))),"KR",IF(NOT(ISERROR(SEARCH("KA",C16))),"KA",IF(NOT(ISERROR(SEARCH("K",C16))),"K",IF(NOT(ISERROR(SEARCH("CJ",C16))),"CJ","")))))))</f>
        <v/>
      </c>
      <c r="AW16" s="830" t="str">
        <f t="shared" ref="AW16:AW45" si="29">IF(NOT(ISERROR(SEARCH("HDR",C16))),"HDR",IF(NOT(ISERROR(SEARCH("JS",C16))),"JS",IF(NOT(ISERROR(SEARCH("SLH",C16))),"SLH",IF(NOT(ISERROR(SEARCH("DLH",C16))),"DLH",IF(NOT(ISERROR(SEARCH("LH",C16))),"LH","")))))</f>
        <v>LH</v>
      </c>
      <c r="AX16" s="830" t="str">
        <f>IF(OR(ISBLANK(A16),A16=""),"",A16)</f>
        <v>TJ17</v>
      </c>
      <c r="AY16" s="1039" t="b">
        <f t="shared" ref="AY16:AY45" si="30">IF($AE$1,IF(AX16=AX15,AY15,IF(AND(AX16&lt;&gt;"",OR(B16=0,B16="")),TRUE,FALSE)),FALSE)</f>
        <v>0</v>
      </c>
      <c r="AZ16" s="856" t="b">
        <f t="shared" ref="AZ16:AZ45" si="31">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2">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3">IF(ISERROR(DE16),"",IF(DG16="","",IF(DG16="C",DF16,IF(DG16="Q",2,""))))</f>
        <v/>
      </c>
      <c r="CD16" s="909"/>
      <c r="CE16" s="729"/>
      <c r="CF16" s="730"/>
      <c r="CG16" s="731"/>
      <c r="CH16" s="583" t="str">
        <f t="shared" ref="CH16:CH45" si="34">IF(EJ16=EK16,IF(EK16="ERR","ERR",""),CONCATENATE(IF(BM16&lt;0,"NS ","FS "),IF(EK16="ERR","Slot Only",CONCATENATE("Slot @ ",EJ16))))</f>
        <v/>
      </c>
      <c r="CI16" s="584" t="str">
        <f t="shared" ref="CI16:CI45" si="35">IF(EQ16=ER16,IF(ER16="ERR","ERR",""),CONCATENATE(IF(BY16&lt;0,"FS ","NS "),IF(ER16="ERR","Slot Only",CONCATENATE("Slot @ ",EQ16))))</f>
        <v/>
      </c>
      <c r="CJ16" s="585" t="str">
        <f t="shared" ref="CJ16:CJ45" si="36">IF(EV16="","",IF(AND(DB16&lt;&gt;EV16,OR(NOT(ISBLANK(BJ16)),CU16="C")),CONCATENATE("LE slots @ ",DB16," Ga."),IF(AND(DL16&lt;&gt;EV16,OR(NOT(ISBLANK(BV16)),DE16="C")),CONCATENATE("RE slots @ ",DL16," Ga."),"")))</f>
        <v/>
      </c>
      <c r="CK16" s="586" t="str">
        <f t="shared" ref="CK16:CK45" si="37">IF(AND(CP16&lt;&gt;"",BM16&lt;&gt;"",CQ16&lt;&gt;"",BY16&lt;&gt;""),"BE",IF(AND(CP16&lt;&gt;"",BM16&lt;&gt;""),"LE",IF(AND(CQ16&lt;&gt;"",BY16&lt;&gt;""),"RE","")))</f>
        <v/>
      </c>
      <c r="CL16" s="587" t="str">
        <f t="shared" ref="CL16:CL45" si="38">IF(BQ16="","",IF(CEILING(DV16,0.125)&lt;=DW16+VLOOKUP(AU16,$DF$2:$DI$9,4,FALSE),"",CEILING(DV16,0.125)))</f>
        <v/>
      </c>
      <c r="CM16" s="588" t="str">
        <f t="shared" ref="CM16:CM45" si="39">IF(CC16="","",IF(CEILING(EB16,0.125)&lt;=EC16+VLOOKUP(AU16,$DF$2:$DI$9,4,FALSE),"",CEILING(EB16,0.125)))</f>
        <v/>
      </c>
      <c r="CN16" s="589" t="str">
        <f t="shared" ref="CN16:CN45" si="40">IF(AND(CE16&lt;&gt;0,BM16&lt;&gt;0),CE16*COS(RADIANS(90-BM16))/(1/COS(RADIANS(90-BM16)))*-1,"")</f>
        <v/>
      </c>
      <c r="CO16" s="590" t="str">
        <f t="shared" ref="CO16:CO45" si="41">IF(AND(CE16&lt;&gt;0,BY16&lt;&gt;0),CE16*COS(RADIANS(90-BY16))/(1/COS(RADIANS(90-BY16))),"")</f>
        <v/>
      </c>
      <c r="CP16" s="613" t="str">
        <f t="shared" ref="CP16:CP45" si="42">IF(BG16="","",IF(AU16="JS","",IF(VLOOKUP(AU16,$DF$2:$DN$9,5,FALSE)&gt;FO16,IF(FO16&gt;=0.0625,CEILING(FO16-0.0625,0.125),FO16),"")))</f>
        <v/>
      </c>
      <c r="CQ16" s="614" t="str">
        <f t="shared" ref="CQ16:CQ45" si="43">IF(BS16="","",IF(AU16="JS","",IF(VLOOKUP(AU16,$DF$2:$DN$9,5,FALSE)&gt;FP16,IF(FP16&gt;=0.0625,CEILING(FP16-0.0625,0.125),FP16),"")))</f>
        <v/>
      </c>
      <c r="CR16" s="748">
        <f t="shared" ref="CR16:CR45" si="44">IF(AU16="","",IF(ABS(FF16)&lt;ABS($CX$2),VLOOKUP(AU16,$DF$2:$DN$9,3,FALSE),CEILING(VLOOKUP(AU16,$DF$2:$DN$9,3,FALSE)/COS(FE16)+0.375+IF(CU16="M",IF(FE16&gt;0,(DV16-DW16)/12,0),IF(FE16&gt;0,0,(DV16-CV16)/12))*ABS(FF16),0.125)))</f>
        <v>5</v>
      </c>
      <c r="CS16" s="749">
        <f t="shared" ref="CS16:CS45" si="45">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6">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47">BZ16*-1</f>
        <v>0</v>
      </c>
      <c r="DO16" s="860">
        <f t="shared" ref="DO16:DO45" si="48">IF(CE16="",0,ATAN(CE16/12))</f>
        <v>0</v>
      </c>
      <c r="DP16" s="861" t="str">
        <f t="shared" ref="DP16:DP45" si="49">IF(OR(CV16="",BE16="",DF16=""),"",CEILING(IF(AND(BE16="",BF16=""),"",((BE16*12+BF16)+CV16+DF16)/COS(FN16))-0.0625,0.125))</f>
        <v/>
      </c>
      <c r="DQ16" s="861" t="str">
        <f t="shared" ref="DQ16:DQ45" si="50">IF(AU16="","",IF(ABS(FF16)&lt;ABS($CX$2),CX16,IF(FF16=0,CX16,CEILING((CX16+((DW16-CV16)/12)*FF16)-0.0625,0.125))))</f>
        <v/>
      </c>
      <c r="DR16" s="861" t="str">
        <f t="shared" ref="DR16:DR45" si="51">IF(AU16="","",IF(ABS(FK16)&lt;ABS($CX$2),DH16,IF(FK16=0,DH16,CEILING((DH16+((EC16-DF16)/12)*FK16)-0.0625,0.125))))</f>
        <v/>
      </c>
      <c r="DS16" s="862">
        <f t="shared" ref="DS16:DS45" si="52">IF(BM16="",0,RADIANS(ABS(BM16)))</f>
        <v>0</v>
      </c>
      <c r="DT16" s="821">
        <f t="shared" ref="DT16:DT45" si="53">MIN(IF(BH16&gt;0,BH16/2,MAX(BI16/2,DC16)),IF(BI16&gt;0,BI16/2,MAX(BH16/2,DC16)),IF(DC16&gt;0,DC16,MAX(BI16/2,BH16/2)))/IF(OR(CU16="C",AND(CU16="M",$DD$1="N")),1,COS(DS16))</f>
        <v>0</v>
      </c>
      <c r="DU16" s="821" t="str">
        <f t="shared" ref="DU16:DU45" si="54">IF(CV16="","",IF(DC16&gt;=0,MAX(BH16/2,BI16/2,DC16),DC16)/IF(OR(CU16="C",AND(CU16="M",$DD$1="N")),1,COS(DS16)))</f>
        <v/>
      </c>
      <c r="DV16" s="861" t="str">
        <f t="shared" ref="DV16:DV45" si="55">IF(CV16="","",(CV16+DU16+(VLOOKUP(IF(AU16="HDR","K",AU16),$DF$2:$DN$9,2,FALSE))*TAN(DS16))/COS(FD16)-FH16)</f>
        <v/>
      </c>
      <c r="DW16" s="872" t="str">
        <f t="shared" ref="DW16:DW45" si="56">IF(CV16="","",MAX(0,IF(NOT(BQ16=""),CV16-BQ16,DV16-VLOOKUP(IF(AU16="HDR","K",AU16),$DF$2:$DN$9,4,FALSE))))</f>
        <v/>
      </c>
      <c r="DX16" s="1129">
        <f t="shared" ref="DX16:DX45" si="57">IF(CV16="",0,IF(DW16/COS(FN16-FD16)&lt;0.0625,0,CEILING(DW16/COS(FN16-FD16)-0.03125,0.125)))</f>
        <v>0</v>
      </c>
      <c r="DY16" s="861">
        <f t="shared" ref="DY16:DY45" si="58">RADIANS(ABS(BY16))</f>
        <v>0</v>
      </c>
      <c r="DZ16" s="821">
        <f t="shared" ref="DZ16:DZ45" si="59">MIN(IF(BT16&gt;0,BT16/2,MAX(BU16/2,DM16)),IF(BU16&gt;0,BU16/2,MAX(BT16/2,DM16)),IF(DM16&gt;0,DM16,MAX(BU16/2,BT16/2)))/IF(OR(DE16="C",AND(DE16="M",$DD$1="N")),1,COS(DY16))</f>
        <v>0</v>
      </c>
      <c r="EA16" s="821" t="str">
        <f t="shared" ref="EA16:EA45" si="60">IF(DF16="","",IF(DM16&gt;=0,MAX(BT16/2,BU16/2,DM16),DM16)/IF(OR(DE16="C",AND(DE16="M",$DD$1="N")),1,COS(DY16)))</f>
        <v/>
      </c>
      <c r="EB16" s="861" t="str">
        <f t="shared" ref="EB16:EB45" si="61">IF(DF16="","",(DF16+EA16+(VLOOKUP(IF(AU16="HDR","K",AU16),$DF$2:$DN$9,2,FALSE))*TAN(DY16))/COS(FI16)-FM16)</f>
        <v/>
      </c>
      <c r="EC16" s="872" t="str">
        <f t="shared" ref="EC16:EC45" si="62">IF(DF16="","",MAX(0,IF(NOT(CC16=""),DF16-CC16,EB16-VLOOKUP(IF(AU16="HDR","K",AU16),$DF$2:$DN$9,4,FALSE))))</f>
        <v/>
      </c>
      <c r="ED16" s="1129">
        <f t="shared" ref="ED16:ED45" si="63">IF(DF16="",0,IF(EC16/COS(FN16+FI16)&lt;0.0625,0,CEILING(EC16/COS(FN16+FI16)-0.03125,0.125)))</f>
        <v>0</v>
      </c>
      <c r="EE16" s="1339" t="str">
        <f t="shared" ref="EE16:EE45" si="64">IF(AND(EZ16="",DA16=""),"",IF(EZ16="ERR","ERR",IF(CU16="C",DA16,IF(BJ16="","",IF(DA16="",(EZ16/2)*-1,DA16)))))</f>
        <v/>
      </c>
      <c r="EF16" s="1339" t="str">
        <f t="shared" ref="EF16:EF45" si="65">IF(EE16="ERR","ERR",IF(EE16="","",IF(DB16*TAN(DS16)&lt;=(VLOOKUP(AU16,$DF$2:$DN$9,8,FALSE)-(VLOOKUP(AU16,$DF$2:$DN$9,7,FALSE)-0.0625)),CV16-(EE16-FH16)/IF(OR(CU16="C",AND(CU16="M",$DD$1="N")),1,COS(DS16))-IF(MID(CW16,1,1)="R",0,DW16),(ABS(EE16-FH16)/IF(OR(CU16="C",AND(CU16="M",$DD$1="N")),1,COS(DS16))+CV16)-((DB16/2)*TAN(DS16))-IF(MID(CW16,1,1)="R",0,DW16))))</f>
        <v/>
      </c>
      <c r="EG16" s="1339" t="str">
        <f t="shared" ref="EG16:EG45" si="66">IF(EE16="ERR","ERR",IF(EE16="","",IF(DB16*TAN(DS16)&lt;=(VLOOKUP(AU16,$DF$2:$DN$9,8,FALSE)-(VLOOKUP(AU16,$DF$2:$DN$9,7,FALSE)-0.0625)),CV16-(EE16-FH16)/IF(OR(CU16="C",AND(CU16="M",$DD$1="N")),1,COS(DS16))-IF(MID(CW16,1,1)="R",0,DW16),(ABS(EE16-FH16)/IF(OR(CU16="C",AND(CU16="M",$DD$1="N")),1,COS(DS16))+CV16)+((DB16/2)*TAN(DS16))-IF(MID(CW16,1,1)="R",0,DW16))))</f>
        <v/>
      </c>
      <c r="EH16" s="856" t="str">
        <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69">IF(ISERROR(EF16),"ERR",IF(EF16="","",IF(EH16="ERR","ERR",CEILING(EH16-0.0625,0.125))))</f>
        <v/>
      </c>
      <c r="EK16" s="822" t="str">
        <f t="shared" si="69"/>
        <v/>
      </c>
      <c r="EL16" s="1293" t="str">
        <f t="shared" ref="EL16:EL45" si="70">IF(AND(FC16="",DK16=""),"",IF(FC16="ERR","ERR",IF(DE16="C",DK16,IF(BV16="","",IF(DK16="",(FC16/2)*-1,DK16)))))</f>
        <v/>
      </c>
      <c r="EM16" s="822" t="str">
        <f t="shared" ref="EM16:EM45" si="71">IF(EL16="ERR","ERR",IF(EL16="","",IF(DL16*TAN(DY16)&lt;=(VLOOKUP(AU16,$DF$2:$DN$9,8,FALSE)-(VLOOKUP(AU16,$DF$2:$DN$9,7,FALSE)-0.0625)),DF16-(EL16-FM16)/IF(OR(DE16="C",AND(DE16="M",$DD$1="N")),1,COS(DY16))-IF(MID(DG16,1,1)="R",0,EC16),(ABS(EL16-FM16)/IF(OR(DE16="C",AND(DE16="M",$DD$1="N")),1,COS(DY16))+DF16)-((DL16/2)*TAN(DY16))-IF(MID(DG16,1,1)="R",0,EC16))))</f>
        <v/>
      </c>
      <c r="EN16" s="822" t="str">
        <f t="shared" ref="EN16:EN45" si="72">IF(EL16="ERR","ERR",IF(EL16="","",IF(DL16*TAN(DY16)&lt;=(VLOOKUP(AU16,$DF$2:$DN$9,8,FALSE)-(VLOOKUP(AU16,$DF$2:$DN$9,7,FALSE)-0.0625)),DF16-(EL16-FM16)/IF(OR(DE16="C",AND(DE16="M",$DD$1="N")),1,COS(DY16))-IF(MID(DG16,1,1)="R",0,EC16),(ABS(EL16-FM16)/IF(OR(DE16="C",AND(DE16="M",$DD$1="N")),1,COS(DY16))+DF16)+((DL16/2)*TAN(DY16))-IF(MID(DG16,1,1)="R",0,EC16))))</f>
        <v/>
      </c>
      <c r="EO16" s="856" t="str">
        <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5">IF(ISERROR(EM16),"ERR",IF(EM16="","",IF(EO16="ERR","ERR",CEILING(EO16-0.0625,0.125))))</f>
        <v/>
      </c>
      <c r="ER16" s="861" t="str">
        <f t="shared" si="75"/>
        <v/>
      </c>
      <c r="ES16" s="822" t="str">
        <f t="shared" ref="ES16:ES45" si="76">IF(OR(CY16="",AU16="JS",AU16="HDR",BO16=""),"",IF((CV16-CY16)/COS(DO16)-FS16&lt;=-0.0625,CEILING((CV16-CY16)/COS(DO16)-FS16+0.0625,-0.125),IF((CV16-CY16)/COS(DO16)-FS16&gt;=0.0625,CEILING((CV16-CY16)/COS(DO16)-FS16-0.0625,0.125),0)))</f>
        <v/>
      </c>
      <c r="ET16" s="822" t="str">
        <f t="shared" ref="ET16:ET45" si="77">IF(OR(DI16="",AU16="JS",AU16="HDR",CA16=""),"",IF((DF16-DI16)/COS(DO16)-FT16&lt;=-0.0625,CEILING((DF16-DI16)/COS(DO16)-FT16+0.0625,-0.125),IF((DF16-DI16)/COS(DO16)-FT16&gt;=0.0625,CEILING((DF16-DI16)/COS(DO16)-FT16-0.0625,0.125),0)))</f>
        <v/>
      </c>
      <c r="EU16" s="863">
        <f t="shared" ref="EU16:EU45" si="78">IF(AU16="","",VLOOKUP(AU16,$DF$2:$DN$9,6,FALSE))</f>
        <v>4</v>
      </c>
      <c r="EV16" s="824" t="str">
        <f t="shared" ref="EV16:EV45" si="79">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0">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1">IF(BV16="X",IF(OR(DE16="M",DE16="C"),"",IF((FB16-FA16)/2&lt;=(VLOOKUP(AU16,$DF$2:$DN$9,8,FALSE)-(VLOOKUP(AU16,$DF$2:$DN$9,7,FALSE)-0.0625)),(FA16+FB16)/2,"ERR")),"")</f>
        <v/>
      </c>
      <c r="FD16" s="862">
        <f>IF(DD16="",0,ATAN(DD16/12))</f>
        <v>0</v>
      </c>
      <c r="FE16" s="862">
        <f t="shared" ref="FE16:FE45" si="82">DO16-FD16</f>
        <v>0</v>
      </c>
      <c r="FF16" s="862">
        <f t="shared" ref="FF16:FF45" si="83">TAN(FE16)*12</f>
        <v>0</v>
      </c>
      <c r="FG16" s="862" t="str">
        <f t="shared" ref="FG16:FG45" si="84">IF(FF16=0,"",IF(ABS(FF16)&lt;$CX$2,IF(AND(ABS(MIN(DV16,FQ16)/12*FF16)&gt;$DD$2,FF16&gt;0),IF(FF16&gt;0,CEILING(FF16-0.0625,0.125),CEILING(FF16+0.0625,-0.125)),""),IF(FF16&gt;0,CEILING(FF16-0.0625,0.125),CEILING(FF16+0.0625,-0.125))))</f>
        <v/>
      </c>
      <c r="FH16" s="861" t="str">
        <f t="shared" ref="FH16:FH45" si="85">IF(CX16="","",CX16*TAN(FD16))</f>
        <v/>
      </c>
      <c r="FI16" s="862">
        <f>IF(DN16="",0,ATAN(DN16/12))</f>
        <v>0</v>
      </c>
      <c r="FJ16" s="862">
        <f t="shared" ref="FJ16:FJ45" si="86">DO16+FI16</f>
        <v>0</v>
      </c>
      <c r="FK16" s="862">
        <f t="shared" ref="FK16:FK45" si="87">TAN(FJ16)*-12</f>
        <v>0</v>
      </c>
      <c r="FL16" s="862" t="str">
        <f t="shared" ref="FL16:FL45" si="88">IF(FK16=0,"",IF(ABS(FK16)&lt;$CX$2,IF(AND(ABS(MIN(EB16,FR16)/12*FK16)&gt;$DD$2,FK16&gt;0),IF(FK16&gt;0,CEILING(FK16-0.0625,0.125),CEILING(FK16+0.0625,-0.125)),""),IF(FK16&gt;0,CEILING(FK16-0.0625,0.125),CEILING(FK16+0.0625,-0.125))))</f>
        <v/>
      </c>
      <c r="FM16" s="861" t="str">
        <f t="shared" ref="FM16:FM45" si="89">IF(DH16="","",DH16*TAN(FI16))</f>
        <v/>
      </c>
      <c r="FN16" s="861" t="e">
        <f t="shared" ref="FN16:FN45" si="90">IF(((BE16*12+BF16)+CV16+DF16)/COS(DO16)-((BE16*12+BF16)+CV16+DF16)&lt;$DB$2,0,DO16)</f>
        <v>#VALUE!</v>
      </c>
      <c r="FO16" s="1388" t="e">
        <f t="shared" ref="FO16:FO45" si="91">MIN(IF(BH16&gt;0,BH16/2,MAX(BI16/2,DC16)),IF(BI16&gt;0,BI16/2,MAX(BH16/2,DC16)),IF(DC16&gt;0,DC16,MAX(BI16/2,BH16/2)))/COS(DS16)+CV16-DW16-FH16</f>
        <v>#VALUE!</v>
      </c>
      <c r="FP16" s="1388" t="e">
        <f t="shared" ref="FP16:FP45" si="92">MIN(IF(BT16&gt;0,BT16/2,MAX(BU16/2,DM16)),IF(BU16&gt;0,BU16/2,MAX(BT16/2,DM16)),IF(DM16&gt;0,DM16,MAX(BU16/2,BT16/2)))/COS(DY16)+DF16-EC16-FM16</f>
        <v>#VALUE!</v>
      </c>
      <c r="FQ16" s="864" t="e">
        <f t="shared" ref="FQ16:FQ45" si="93">IF(OR(CU16="B",CU16="G"),MAX(BH16,BI16),IF(CU16="M",12,DC16+CV16))</f>
        <v>#VALUE!</v>
      </c>
      <c r="FR16" s="865" t="e">
        <f t="shared" ref="FR16:FR45" si="94">IF(OR(DE16="B",DE16="G"),MAX(BT16,BU16),IF(DE16="M",12,DM16+DF16))</f>
        <v>#VALUE!</v>
      </c>
      <c r="FS16" s="866" t="str">
        <f t="shared" ref="FS16:FS45" si="95">IF(CY16="","",IF(ABS(CE16*((AJ16-IF(CE16&gt;0,VLOOKUP(AU16,$DF$2:$DN$9,9,FALSE),0))/12))&gt;$CZ$2,CE16*((AJ16-IF(CE16&gt;0,VLOOKUP(AU16,$DF$2:$DN$9,9,FALSE),0))/12),0))</f>
        <v/>
      </c>
      <c r="FT16" s="867" t="str">
        <f t="shared" ref="FT16:FT45" si="96">IF(DI16="","",IF(ABS(CE16*((AJ16-IF(CE16&lt;0,VLOOKUP(AU16,$DF$2:$DN$9,9,FALSE),0))/12))&gt;$CZ$2,CE16*((AJ16-IF(CE16&lt;0,VLOOKUP(AU16,$DF$2:$DN$9,9,FALSE),0))/12)*-1,0))</f>
        <v/>
      </c>
      <c r="FU16" s="868">
        <f t="shared" ref="FU16:FU45" si="97">IF(CX16="",0,MAX(0,MIN(DV16-VLOOKUP(AU16,DF$2:DN$9,4,FALSE),(MAX(0,CX16-VLOOKUP(AU16,DF$2:DN$9,3,FALSE))+VLOOKUP(AU16,DF$2:DN$9,4,FALSE))*COS(DO16)+((MAX(0,CX16-VLOOKUP(AU16,DF$2:DN$9,3,FALSE))+VLOOKUP(AU16,DF$2:DN$9,4,FALSE))*COS(PI()/2-DO16))/TAN(PI()/2-(DO16+PI()/4))-VLOOKUP(AU16,DF$2:DN$9,4,FALSE))))</f>
        <v>0</v>
      </c>
      <c r="FV16" s="869">
        <f t="shared" ref="FV16:FV45" si="98">IF(DH16="",0,MAX(0,MIN(EB16-VLOOKUP(AU16,DF$2:DN$9,4,FALSE),(MAX(0,DH16-VLOOKUP(AU16,DF$2:DN$9,3,FALSE))+VLOOKUP(AU16,DF$2:DN$9,4,FALSE))*COS(DO16)+((MAX(0,DH16-VLOOKUP(AU16,DF$2:DN$9,3,FALSE))+VLOOKUP(AU16,DF$2:DN$9,4,FALSE))*COS(PI()/2-DO16))/TAN(PI()/2-(DO16+PI()/4))-VLOOKUP(AU16,DF$2:DN$9,4,FALSE))))</f>
        <v>0</v>
      </c>
      <c r="GA16" s="1791">
        <v>40</v>
      </c>
      <c r="GB16" s="1792">
        <v>0.75</v>
      </c>
      <c r="GC16" s="1793">
        <v>-0.25</v>
      </c>
      <c r="GD16" s="1794">
        <v>-0.5</v>
      </c>
      <c r="GE16" s="1795">
        <f t="shared" ref="GE16:GE45" si="99">IF(GF16="","",IF(ISBLANK(CE16),IF(Y16=Z16,0,MAX(ABS(Y16),ABS(Z16))*IF(Y16&lt;0,-1,1)),CE16))</f>
        <v>0</v>
      </c>
      <c r="GF16" s="600" t="str">
        <f t="shared" ref="GF16:GF45" si="100">IF(A16=0,"",A16)</f>
        <v>TJ17</v>
      </c>
      <c r="GG16" s="1130">
        <v>0</v>
      </c>
      <c r="GH16" s="1131">
        <v>0</v>
      </c>
      <c r="GI16" s="1130"/>
      <c r="GJ16" s="1131"/>
      <c r="GK16" s="1638">
        <f t="shared" ref="GK16:GK45" si="101">IF(D16="",0,D16*12+E16)</f>
        <v>480</v>
      </c>
      <c r="GL16" s="1636">
        <f t="shared" ref="GL16:GL45" si="102">(GA16*12+GB16+GC16+GD16)/COS(ATAN(ABS(GE16/12)))</f>
        <v>480</v>
      </c>
      <c r="GM16" s="1637">
        <f>IF(ABS(GK16-GL16)&gt;='Job Info.'!$L$22,ABS(GK16-GL16),0)</f>
        <v>0</v>
      </c>
      <c r="HA16" s="1263" t="s">
        <v>1447</v>
      </c>
      <c r="HB16" s="1264">
        <v>1</v>
      </c>
      <c r="HC16" s="1264" t="s">
        <v>1592</v>
      </c>
      <c r="HD16" s="1265">
        <v>40</v>
      </c>
      <c r="HE16" s="1266">
        <v>0</v>
      </c>
      <c r="HF16" s="1264" t="s">
        <v>116</v>
      </c>
      <c r="HG16" s="1264" t="s">
        <v>116</v>
      </c>
      <c r="HH16" s="1264" t="s">
        <v>116</v>
      </c>
      <c r="HI16" s="1267" t="s">
        <v>116</v>
      </c>
      <c r="HJ16" s="1264" t="s">
        <v>116</v>
      </c>
      <c r="HK16" s="1264" t="s">
        <v>116</v>
      </c>
      <c r="HL16" s="1264">
        <v>5</v>
      </c>
      <c r="HM16" s="1264">
        <v>5</v>
      </c>
      <c r="HN16" s="1264">
        <v>0</v>
      </c>
      <c r="HO16" s="1264">
        <v>6.75</v>
      </c>
      <c r="HP16" s="1264">
        <v>2</v>
      </c>
      <c r="HQ16" s="1267" t="s">
        <v>116</v>
      </c>
      <c r="HR16" s="1264" t="s">
        <v>116</v>
      </c>
      <c r="HS16" s="1264" t="s">
        <v>116</v>
      </c>
      <c r="HT16" s="1264">
        <v>0</v>
      </c>
      <c r="HU16" s="1264">
        <v>2.25</v>
      </c>
      <c r="HV16" s="1264">
        <v>0</v>
      </c>
      <c r="HW16" s="1266">
        <v>2</v>
      </c>
      <c r="HX16" s="1266">
        <v>4</v>
      </c>
      <c r="HY16" s="1266" t="s">
        <v>116</v>
      </c>
      <c r="HZ16" s="1266" t="s">
        <v>116</v>
      </c>
      <c r="IA16" s="1266" t="s">
        <v>1652</v>
      </c>
      <c r="IB16" s="1266"/>
      <c r="IC16" s="1266"/>
      <c r="ID16" s="1266"/>
      <c r="IE16" s="1266"/>
      <c r="IF16" s="1268"/>
    </row>
    <row r="17" spans="1:240" ht="12.6" customHeight="1" x14ac:dyDescent="0.25">
      <c r="A17" s="1448" t="s">
        <v>1448</v>
      </c>
      <c r="B17" s="1681">
        <v>1</v>
      </c>
      <c r="C17" s="1449" t="s">
        <v>1592</v>
      </c>
      <c r="D17" s="1705">
        <v>40</v>
      </c>
      <c r="E17" s="1706">
        <v>0</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ref="N17:N45" si="103">IF(ES17="","",IF(AND(ES17&lt;0,ES17&gt;-12),TRUNC(ES17/12)-0.0000001,TRUNC(ES17/12)))</f>
        <v/>
      </c>
      <c r="O17" s="1709" t="str">
        <f t="shared" ref="O17:O45" si="104">IF(ES17="","",IF(AND(ES17-(N17*12)=0,ES17&lt;0),-0.000001,ES17-(N17*12)))</f>
        <v/>
      </c>
      <c r="P17" s="1710" t="str">
        <f t="shared" ref="P17:P45" si="105">IF(ES17="","",IF(OR(CW17="Q",CW17="C"),3,CZ17))</f>
        <v/>
      </c>
      <c r="Q17" s="1705" t="str">
        <f t="shared" si="7"/>
        <v/>
      </c>
      <c r="R17" s="1709" t="str">
        <f t="shared" si="8"/>
        <v/>
      </c>
      <c r="S17" s="1711" t="str">
        <f t="shared" si="9"/>
        <v/>
      </c>
      <c r="T17" s="1714">
        <v>0</v>
      </c>
      <c r="U17" s="1709">
        <v>2.25</v>
      </c>
      <c r="V17" s="1705">
        <v>0</v>
      </c>
      <c r="W17" s="1709">
        <v>2</v>
      </c>
      <c r="X17" s="1713">
        <v>4</v>
      </c>
      <c r="Y17" s="1781" t="str">
        <f t="shared" si="10"/>
        <v/>
      </c>
      <c r="Z17" s="1782" t="str">
        <f t="shared" si="11"/>
        <v/>
      </c>
      <c r="AA17" s="1783" t="s">
        <v>1722</v>
      </c>
      <c r="AB17" s="1413"/>
      <c r="AC17" s="964" t="b">
        <v>0</v>
      </c>
      <c r="AD17" s="441">
        <f t="shared" si="12"/>
        <v>0</v>
      </c>
      <c r="AE17" s="442">
        <f t="shared" si="13"/>
        <v>1</v>
      </c>
      <c r="AF17" s="442">
        <f t="shared" si="14"/>
        <v>0</v>
      </c>
      <c r="AG17" s="442">
        <f t="shared" si="15"/>
        <v>0</v>
      </c>
      <c r="AH17" s="443">
        <f t="shared" si="16"/>
        <v>0</v>
      </c>
      <c r="AI17" s="444" t="b">
        <v>0</v>
      </c>
      <c r="AJ17" s="238">
        <f t="shared" si="17"/>
        <v>32</v>
      </c>
      <c r="AK17" s="830" t="str">
        <f t="shared" si="18"/>
        <v>LH</v>
      </c>
      <c r="AL17" s="945" t="str">
        <f t="shared" si="19"/>
        <v/>
      </c>
      <c r="AM17" s="830">
        <f t="shared" si="20"/>
        <v>305</v>
      </c>
      <c r="AN17" s="830">
        <f t="shared" si="21"/>
        <v>180</v>
      </c>
      <c r="AO17" s="830" t="str">
        <f t="shared" si="22"/>
        <v/>
      </c>
      <c r="AP17" s="830" t="b">
        <f>IF(ISERROR(AJ17),FALSE,IF(OR(AJ17=0,ISERROR(AL17),ISERROR(AM17),ISERROR(AN17),ISERROR(AO17)),FALSE,IF(AL17&lt;&gt;"",IF(ISERROR(VLOOKUP(SUBSTITUTE(SUBSTITUTE(C17,"R",""),"A",""),TblJoistSize!$A:$A,1,FALSE)),FALSE,TRUE),TRUE)))</f>
        <v>1</v>
      </c>
      <c r="AQ17" s="1038">
        <f t="shared" si="23"/>
        <v>6</v>
      </c>
      <c r="AR17" s="945" t="b">
        <f t="shared" si="24"/>
        <v>1</v>
      </c>
      <c r="AS17" s="1038">
        <f t="shared" si="25"/>
        <v>6</v>
      </c>
      <c r="AT17" s="945" t="b">
        <f t="shared" si="26"/>
        <v>1</v>
      </c>
      <c r="AU17" s="946" t="str">
        <f t="shared" si="27"/>
        <v>LH</v>
      </c>
      <c r="AV17" s="830" t="str">
        <f t="shared" si="28"/>
        <v/>
      </c>
      <c r="AW17" s="830" t="str">
        <f t="shared" si="29"/>
        <v>LH</v>
      </c>
      <c r="AX17" s="830" t="str">
        <f t="shared" ref="AX17:AX45" si="106">IF(AND(OR(ISBLANK(A17),A17=""),AA17&lt;&gt;""),AX16,IF(OR(ISBLANK(A17),A17=""),"",A17))</f>
        <v>J18</v>
      </c>
      <c r="AY17" s="1039" t="b">
        <f t="shared" si="30"/>
        <v>0</v>
      </c>
      <c r="AZ17" s="856" t="b">
        <f t="shared" si="31"/>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2"/>
        <v/>
      </c>
      <c r="BR17" s="910"/>
      <c r="BS17" s="672"/>
      <c r="BT17" s="713"/>
      <c r="BU17" s="714"/>
      <c r="BV17" s="1625"/>
      <c r="BW17" s="713"/>
      <c r="BX17" s="714"/>
      <c r="BY17" s="715"/>
      <c r="BZ17" s="716"/>
      <c r="CA17" s="680" t="str">
        <f>IF(ISERROR(DE17),"",IF(DE17="","",IF(VLOOKUP(BS17,SectInfo!$B:$N,10,FALSE)="","","X")))</f>
        <v/>
      </c>
      <c r="CB17" s="738"/>
      <c r="CC17" s="1551" t="str">
        <f t="shared" si="33"/>
        <v/>
      </c>
      <c r="CD17" s="910"/>
      <c r="CE17" s="717"/>
      <c r="CF17" s="736"/>
      <c r="CG17" s="737"/>
      <c r="CH17" s="591" t="str">
        <f t="shared" si="34"/>
        <v/>
      </c>
      <c r="CI17" s="592" t="str">
        <f t="shared" si="35"/>
        <v/>
      </c>
      <c r="CJ17" s="593" t="str">
        <f t="shared" si="36"/>
        <v/>
      </c>
      <c r="CK17" s="594" t="str">
        <f t="shared" si="37"/>
        <v/>
      </c>
      <c r="CL17" s="595" t="str">
        <f t="shared" si="38"/>
        <v/>
      </c>
      <c r="CM17" s="596" t="str">
        <f t="shared" si="39"/>
        <v/>
      </c>
      <c r="CN17" s="597" t="str">
        <f t="shared" si="40"/>
        <v/>
      </c>
      <c r="CO17" s="598" t="str">
        <f t="shared" si="41"/>
        <v/>
      </c>
      <c r="CP17" s="615" t="str">
        <f t="shared" si="42"/>
        <v/>
      </c>
      <c r="CQ17" s="616" t="str">
        <f t="shared" si="43"/>
        <v/>
      </c>
      <c r="CR17" s="750">
        <f t="shared" si="44"/>
        <v>5</v>
      </c>
      <c r="CS17" s="751">
        <f t="shared" si="45"/>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6"/>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47"/>
        <v>0</v>
      </c>
      <c r="DO17" s="818">
        <f t="shared" si="48"/>
        <v>0</v>
      </c>
      <c r="DP17" s="822" t="str">
        <f t="shared" si="49"/>
        <v/>
      </c>
      <c r="DQ17" s="822" t="str">
        <f t="shared" si="50"/>
        <v/>
      </c>
      <c r="DR17" s="822" t="str">
        <f t="shared" si="51"/>
        <v/>
      </c>
      <c r="DS17" s="821">
        <f t="shared" si="52"/>
        <v>0</v>
      </c>
      <c r="DT17" s="821">
        <f t="shared" si="53"/>
        <v>0</v>
      </c>
      <c r="DU17" s="821" t="str">
        <f t="shared" si="54"/>
        <v/>
      </c>
      <c r="DV17" s="822" t="str">
        <f t="shared" si="55"/>
        <v/>
      </c>
      <c r="DW17" s="856" t="str">
        <f t="shared" si="56"/>
        <v/>
      </c>
      <c r="DX17" s="1006">
        <f t="shared" si="57"/>
        <v>0</v>
      </c>
      <c r="DY17" s="822">
        <f t="shared" si="58"/>
        <v>0</v>
      </c>
      <c r="DZ17" s="821">
        <f t="shared" si="59"/>
        <v>0</v>
      </c>
      <c r="EA17" s="821" t="str">
        <f t="shared" si="60"/>
        <v/>
      </c>
      <c r="EB17" s="822" t="str">
        <f t="shared" si="61"/>
        <v/>
      </c>
      <c r="EC17" s="856" t="str">
        <f t="shared" si="62"/>
        <v/>
      </c>
      <c r="ED17" s="1006">
        <f t="shared" si="63"/>
        <v>0</v>
      </c>
      <c r="EE17" s="1293" t="str">
        <f t="shared" si="64"/>
        <v/>
      </c>
      <c r="EF17" s="1293" t="str">
        <f t="shared" si="65"/>
        <v/>
      </c>
      <c r="EG17" s="1293" t="str">
        <f t="shared" si="66"/>
        <v/>
      </c>
      <c r="EH17" s="856" t="str">
        <f t="shared" si="67"/>
        <v>ERR</v>
      </c>
      <c r="EI17" s="856" t="str">
        <f t="shared" si="68"/>
        <v>ERR</v>
      </c>
      <c r="EJ17" s="822" t="str">
        <f t="shared" si="69"/>
        <v/>
      </c>
      <c r="EK17" s="822" t="str">
        <f t="shared" si="69"/>
        <v/>
      </c>
      <c r="EL17" s="1293" t="str">
        <f t="shared" si="70"/>
        <v/>
      </c>
      <c r="EM17" s="822" t="str">
        <f t="shared" si="71"/>
        <v/>
      </c>
      <c r="EN17" s="822" t="str">
        <f t="shared" si="72"/>
        <v/>
      </c>
      <c r="EO17" s="856" t="str">
        <f t="shared" si="73"/>
        <v>ERR</v>
      </c>
      <c r="EP17" s="856" t="str">
        <f t="shared" si="74"/>
        <v>ERR</v>
      </c>
      <c r="EQ17" s="1293" t="str">
        <f t="shared" si="75"/>
        <v/>
      </c>
      <c r="ER17" s="822" t="str">
        <f t="shared" si="75"/>
        <v/>
      </c>
      <c r="ES17" s="822" t="str">
        <f t="shared" si="76"/>
        <v/>
      </c>
      <c r="ET17" s="822" t="str">
        <f t="shared" si="77"/>
        <v/>
      </c>
      <c r="EU17" s="829">
        <f t="shared" si="78"/>
        <v>4</v>
      </c>
      <c r="EV17" s="824" t="str">
        <f t="shared" si="79"/>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0"/>
        <v/>
      </c>
      <c r="FA17" s="829" t="str">
        <f>IF(AND(DE17="G", ISBLANK(BW17), ISBLANK(BX17)),VLOOKUP(MIN(BT17:BU17),TblJoistSize!$M$3:$N$10,2),IF(OR(DE17="B", DE17="G"),MIN(BW17:BX17),""))</f>
        <v/>
      </c>
      <c r="FB17" s="829" t="str">
        <f>IF(AND(DE17="G", ISBLANK(BW17), ISBLANK(BX17)),VLOOKUP(MAX(BT17:BU17),TblJoistSize!$M$3:$N$10,2),IF(OR(DE17="B", DE17="G"),MAX(BW17:BX17),""))</f>
        <v/>
      </c>
      <c r="FC17" s="829" t="str">
        <f t="shared" si="81"/>
        <v/>
      </c>
      <c r="FD17" s="821">
        <f t="shared" ref="FD17:FD45" si="107">IF(DD17="",0,ATAN(DD17/12))</f>
        <v>0</v>
      </c>
      <c r="FE17" s="821">
        <f t="shared" si="82"/>
        <v>0</v>
      </c>
      <c r="FF17" s="821">
        <f t="shared" si="83"/>
        <v>0</v>
      </c>
      <c r="FG17" s="821" t="str">
        <f t="shared" si="84"/>
        <v/>
      </c>
      <c r="FH17" s="822" t="str">
        <f t="shared" si="85"/>
        <v/>
      </c>
      <c r="FI17" s="821">
        <f t="shared" ref="FI17:FI45" si="108">IF(DN17="",0,ATAN(DN17/12))</f>
        <v>0</v>
      </c>
      <c r="FJ17" s="821">
        <f t="shared" si="86"/>
        <v>0</v>
      </c>
      <c r="FK17" s="821">
        <f t="shared" si="87"/>
        <v>0</v>
      </c>
      <c r="FL17" s="821" t="str">
        <f t="shared" si="88"/>
        <v/>
      </c>
      <c r="FM17" s="822" t="str">
        <f t="shared" si="89"/>
        <v/>
      </c>
      <c r="FN17" s="822" t="e">
        <f t="shared" si="90"/>
        <v>#VALUE!</v>
      </c>
      <c r="FO17" s="940" t="e">
        <f t="shared" si="91"/>
        <v>#VALUE!</v>
      </c>
      <c r="FP17" s="940" t="e">
        <f t="shared" si="92"/>
        <v>#VALUE!</v>
      </c>
      <c r="FQ17" s="830" t="e">
        <f t="shared" si="93"/>
        <v>#VALUE!</v>
      </c>
      <c r="FR17" s="831" t="e">
        <f t="shared" si="94"/>
        <v>#VALUE!</v>
      </c>
      <c r="FS17" s="832" t="str">
        <f t="shared" si="95"/>
        <v/>
      </c>
      <c r="FT17" s="833" t="str">
        <f t="shared" si="96"/>
        <v/>
      </c>
      <c r="FU17" s="870">
        <f t="shared" si="97"/>
        <v>0</v>
      </c>
      <c r="FV17" s="871">
        <f t="shared" si="98"/>
        <v>0</v>
      </c>
      <c r="GA17" s="1791">
        <v>40</v>
      </c>
      <c r="GB17" s="1792">
        <v>0.75</v>
      </c>
      <c r="GC17" s="1793">
        <v>-0.25</v>
      </c>
      <c r="GD17" s="1794">
        <v>-0.5</v>
      </c>
      <c r="GE17" s="1795">
        <f t="shared" si="99"/>
        <v>0</v>
      </c>
      <c r="GF17" s="600" t="str">
        <f t="shared" si="100"/>
        <v>J18</v>
      </c>
      <c r="GG17" s="1130">
        <v>0</v>
      </c>
      <c r="GH17" s="1131">
        <v>0</v>
      </c>
      <c r="GI17" s="1130"/>
      <c r="GJ17" s="1131"/>
      <c r="GK17" s="1638">
        <f t="shared" si="101"/>
        <v>480</v>
      </c>
      <c r="GL17" s="1636">
        <f t="shared" si="102"/>
        <v>480</v>
      </c>
      <c r="GM17" s="1637">
        <f>IF(ABS(GK17-GL17)&gt;='Job Info.'!$L$22,ABS(GK17-GL17),0)</f>
        <v>0</v>
      </c>
      <c r="HA17" s="1269" t="s">
        <v>1448</v>
      </c>
      <c r="HB17" s="1270">
        <v>1</v>
      </c>
      <c r="HC17" s="1270" t="s">
        <v>1592</v>
      </c>
      <c r="HD17" s="1271">
        <v>40</v>
      </c>
      <c r="HE17" s="1272">
        <v>0</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1661</v>
      </c>
      <c r="IB17" s="1272"/>
      <c r="IC17" s="1272"/>
      <c r="ID17" s="1272"/>
      <c r="IE17" s="1272"/>
      <c r="IF17" s="1274"/>
    </row>
    <row r="18" spans="1:240" ht="12.6" customHeight="1" x14ac:dyDescent="0.25">
      <c r="A18" s="1448" t="s">
        <v>1449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t="str">
        <f t="shared" si="7"/>
        <v/>
      </c>
      <c r="R18" s="1709" t="str">
        <f t="shared" si="8"/>
        <v/>
      </c>
      <c r="S18" s="1711" t="str">
        <f t="shared" si="9"/>
        <v/>
      </c>
      <c r="T18" s="1714">
        <v>0</v>
      </c>
      <c r="U18" s="1709">
        <v>2.25</v>
      </c>
      <c r="V18" s="1705">
        <v>0</v>
      </c>
      <c r="W18" s="1709">
        <v>2</v>
      </c>
      <c r="X18" s="1713">
        <v>4</v>
      </c>
      <c r="Y18" s="1781" t="str">
        <f t="shared" si="10"/>
        <v/>
      </c>
      <c r="Z18" s="1782" t="str">
        <f t="shared" si="11"/>
        <v/>
      </c>
      <c r="AA18" s="1783" t="s">
        <v>1723</v>
      </c>
      <c r="AB18" s="1413"/>
      <c r="AC18" s="964" t="b">
        <v>0</v>
      </c>
      <c r="AD18" s="441">
        <f t="shared" si="12"/>
        <v>0</v>
      </c>
      <c r="AE18" s="442">
        <f t="shared" si="13"/>
        <v>1</v>
      </c>
      <c r="AF18" s="442">
        <f t="shared" si="14"/>
        <v>0</v>
      </c>
      <c r="AG18" s="442">
        <f t="shared" si="15"/>
        <v>0</v>
      </c>
      <c r="AH18" s="443">
        <f t="shared" si="16"/>
        <v>0</v>
      </c>
      <c r="AI18" s="444" t="b">
        <v>0</v>
      </c>
      <c r="AJ18" s="238">
        <f t="shared" si="17"/>
        <v>32</v>
      </c>
      <c r="AK18" s="830" t="str">
        <f t="shared" si="18"/>
        <v>LH</v>
      </c>
      <c r="AL18" s="945" t="str">
        <f t="shared" si="19"/>
        <v/>
      </c>
      <c r="AM18" s="830">
        <f t="shared" si="20"/>
        <v>305</v>
      </c>
      <c r="AN18" s="830">
        <f t="shared" si="21"/>
        <v>180</v>
      </c>
      <c r="AO18" s="830" t="str">
        <f t="shared" si="22"/>
        <v/>
      </c>
      <c r="AP18" s="830" t="b">
        <f>IF(ISERROR(AJ18),FALSE,IF(OR(AJ18=0,ISERROR(AL18),ISERROR(AM18),ISERROR(AN18),ISERROR(AO18)),FALSE,IF(AL18&lt;&gt;"",IF(ISERROR(VLOOKUP(SUBSTITUTE(SUBSTITUTE(C18,"R",""),"A",""),TblJoistSize!$A:$A,1,FALSE)),FALSE,TRUE),TRUE)))</f>
        <v>1</v>
      </c>
      <c r="AQ18" s="1038">
        <f t="shared" si="23"/>
        <v>6</v>
      </c>
      <c r="AR18" s="945" t="b">
        <f t="shared" si="24"/>
        <v>1</v>
      </c>
      <c r="AS18" s="1038">
        <f t="shared" si="25"/>
        <v>6</v>
      </c>
      <c r="AT18" s="945" t="b">
        <f t="shared" si="26"/>
        <v>1</v>
      </c>
      <c r="AU18" s="946" t="str">
        <f t="shared" si="27"/>
        <v>LH</v>
      </c>
      <c r="AV18" s="830" t="str">
        <f t="shared" si="28"/>
        <v/>
      </c>
      <c r="AW18" s="830" t="str">
        <f t="shared" si="29"/>
        <v>LH</v>
      </c>
      <c r="AX18" s="830" t="str">
        <f t="shared" si="106"/>
        <v>TJ19</v>
      </c>
      <c r="AY18" s="1039" t="b">
        <f t="shared" si="30"/>
        <v>0</v>
      </c>
      <c r="AZ18" s="856" t="b">
        <f t="shared" si="31"/>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2"/>
        <v/>
      </c>
      <c r="BR18" s="910"/>
      <c r="BS18" s="672"/>
      <c r="BT18" s="713"/>
      <c r="BU18" s="714"/>
      <c r="BV18" s="1625"/>
      <c r="BW18" s="713"/>
      <c r="BX18" s="714"/>
      <c r="BY18" s="715"/>
      <c r="BZ18" s="716"/>
      <c r="CA18" s="680" t="str">
        <f>IF(ISERROR(DE18),"",IF(DE18="","",IF(VLOOKUP(BS18,SectInfo!$B:$N,10,FALSE)="","","X")))</f>
        <v/>
      </c>
      <c r="CB18" s="738"/>
      <c r="CC18" s="1551" t="str">
        <f t="shared" si="33"/>
        <v/>
      </c>
      <c r="CD18" s="910"/>
      <c r="CE18" s="717"/>
      <c r="CF18" s="736"/>
      <c r="CG18" s="737"/>
      <c r="CH18" s="591" t="str">
        <f t="shared" si="34"/>
        <v/>
      </c>
      <c r="CI18" s="592" t="str">
        <f t="shared" si="35"/>
        <v/>
      </c>
      <c r="CJ18" s="593" t="str">
        <f t="shared" si="36"/>
        <v/>
      </c>
      <c r="CK18" s="594" t="str">
        <f t="shared" si="37"/>
        <v/>
      </c>
      <c r="CL18" s="595" t="str">
        <f t="shared" si="38"/>
        <v/>
      </c>
      <c r="CM18" s="596" t="str">
        <f t="shared" si="39"/>
        <v/>
      </c>
      <c r="CN18" s="597" t="str">
        <f t="shared" si="40"/>
        <v/>
      </c>
      <c r="CO18" s="598" t="str">
        <f t="shared" si="41"/>
        <v/>
      </c>
      <c r="CP18" s="615" t="str">
        <f t="shared" si="42"/>
        <v/>
      </c>
      <c r="CQ18" s="616" t="str">
        <f t="shared" si="43"/>
        <v/>
      </c>
      <c r="CR18" s="750">
        <f t="shared" si="44"/>
        <v>5</v>
      </c>
      <c r="CS18" s="751">
        <f t="shared" si="45"/>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6"/>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47"/>
        <v>0</v>
      </c>
      <c r="DO18" s="818">
        <f t="shared" si="48"/>
        <v>0</v>
      </c>
      <c r="DP18" s="822" t="str">
        <f t="shared" si="49"/>
        <v/>
      </c>
      <c r="DQ18" s="822" t="str">
        <f t="shared" si="50"/>
        <v/>
      </c>
      <c r="DR18" s="822" t="str">
        <f t="shared" si="51"/>
        <v/>
      </c>
      <c r="DS18" s="821">
        <f t="shared" si="52"/>
        <v>0</v>
      </c>
      <c r="DT18" s="821">
        <f t="shared" si="53"/>
        <v>0</v>
      </c>
      <c r="DU18" s="821" t="str">
        <f t="shared" si="54"/>
        <v/>
      </c>
      <c r="DV18" s="822" t="str">
        <f t="shared" si="55"/>
        <v/>
      </c>
      <c r="DW18" s="856" t="str">
        <f t="shared" si="56"/>
        <v/>
      </c>
      <c r="DX18" s="1006">
        <f t="shared" si="57"/>
        <v>0</v>
      </c>
      <c r="DY18" s="822">
        <f t="shared" si="58"/>
        <v>0</v>
      </c>
      <c r="DZ18" s="821">
        <f t="shared" si="59"/>
        <v>0</v>
      </c>
      <c r="EA18" s="821" t="str">
        <f t="shared" si="60"/>
        <v/>
      </c>
      <c r="EB18" s="822" t="str">
        <f t="shared" si="61"/>
        <v/>
      </c>
      <c r="EC18" s="856" t="str">
        <f t="shared" si="62"/>
        <v/>
      </c>
      <c r="ED18" s="1006">
        <f t="shared" si="63"/>
        <v>0</v>
      </c>
      <c r="EE18" s="1293" t="str">
        <f t="shared" si="64"/>
        <v/>
      </c>
      <c r="EF18" s="1293" t="str">
        <f t="shared" si="65"/>
        <v/>
      </c>
      <c r="EG18" s="1293" t="str">
        <f t="shared" si="66"/>
        <v/>
      </c>
      <c r="EH18" s="856" t="str">
        <f t="shared" si="67"/>
        <v>ERR</v>
      </c>
      <c r="EI18" s="856" t="str">
        <f t="shared" si="68"/>
        <v>ERR</v>
      </c>
      <c r="EJ18" s="822" t="str">
        <f t="shared" si="69"/>
        <v/>
      </c>
      <c r="EK18" s="822" t="str">
        <f t="shared" si="69"/>
        <v/>
      </c>
      <c r="EL18" s="1293" t="str">
        <f t="shared" si="70"/>
        <v/>
      </c>
      <c r="EM18" s="822" t="str">
        <f t="shared" si="71"/>
        <v/>
      </c>
      <c r="EN18" s="822" t="str">
        <f t="shared" si="72"/>
        <v/>
      </c>
      <c r="EO18" s="856" t="str">
        <f t="shared" si="73"/>
        <v>ERR</v>
      </c>
      <c r="EP18" s="856" t="str">
        <f t="shared" si="74"/>
        <v>ERR</v>
      </c>
      <c r="EQ18" s="1293" t="str">
        <f t="shared" si="75"/>
        <v/>
      </c>
      <c r="ER18" s="822" t="str">
        <f t="shared" si="75"/>
        <v/>
      </c>
      <c r="ES18" s="822" t="str">
        <f t="shared" si="76"/>
        <v/>
      </c>
      <c r="ET18" s="822" t="str">
        <f t="shared" si="77"/>
        <v/>
      </c>
      <c r="EU18" s="829">
        <f t="shared" si="78"/>
        <v>4</v>
      </c>
      <c r="EV18" s="824" t="str">
        <f t="shared" si="79"/>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0"/>
        <v/>
      </c>
      <c r="FA18" s="829" t="str">
        <f>IF(AND(DE18="G", ISBLANK(BW18), ISBLANK(BX18)),VLOOKUP(MIN(BT18:BU18),TblJoistSize!$M$3:$N$10,2),IF(OR(DE18="B", DE18="G"),MIN(BW18:BX18),""))</f>
        <v/>
      </c>
      <c r="FB18" s="829" t="str">
        <f>IF(AND(DE18="G", ISBLANK(BW18), ISBLANK(BX18)),VLOOKUP(MAX(BT18:BU18),TblJoistSize!$M$3:$N$10,2),IF(OR(DE18="B", DE18="G"),MAX(BW18:BX18),""))</f>
        <v/>
      </c>
      <c r="FC18" s="829" t="str">
        <f t="shared" si="81"/>
        <v/>
      </c>
      <c r="FD18" s="821">
        <f t="shared" si="107"/>
        <v>0</v>
      </c>
      <c r="FE18" s="821">
        <f t="shared" si="82"/>
        <v>0</v>
      </c>
      <c r="FF18" s="821">
        <f t="shared" si="83"/>
        <v>0</v>
      </c>
      <c r="FG18" s="821" t="str">
        <f t="shared" si="84"/>
        <v/>
      </c>
      <c r="FH18" s="822" t="str">
        <f t="shared" si="85"/>
        <v/>
      </c>
      <c r="FI18" s="821">
        <f t="shared" si="108"/>
        <v>0</v>
      </c>
      <c r="FJ18" s="821">
        <f t="shared" si="86"/>
        <v>0</v>
      </c>
      <c r="FK18" s="821">
        <f t="shared" si="87"/>
        <v>0</v>
      </c>
      <c r="FL18" s="821" t="str">
        <f t="shared" si="88"/>
        <v/>
      </c>
      <c r="FM18" s="822" t="str">
        <f t="shared" si="89"/>
        <v/>
      </c>
      <c r="FN18" s="822" t="e">
        <f t="shared" si="90"/>
        <v>#VALUE!</v>
      </c>
      <c r="FO18" s="940" t="e">
        <f t="shared" si="91"/>
        <v>#VALUE!</v>
      </c>
      <c r="FP18" s="940" t="e">
        <f t="shared" si="92"/>
        <v>#VALUE!</v>
      </c>
      <c r="FQ18" s="830" t="e">
        <f t="shared" si="93"/>
        <v>#VALUE!</v>
      </c>
      <c r="FR18" s="831" t="e">
        <f t="shared" si="94"/>
        <v>#VALUE!</v>
      </c>
      <c r="FS18" s="832" t="str">
        <f t="shared" si="95"/>
        <v/>
      </c>
      <c r="FT18" s="833" t="str">
        <f t="shared" si="96"/>
        <v/>
      </c>
      <c r="FU18" s="870">
        <f t="shared" si="97"/>
        <v>0</v>
      </c>
      <c r="FV18" s="871">
        <f t="shared" si="98"/>
        <v>0</v>
      </c>
      <c r="GA18" s="1791">
        <v>40</v>
      </c>
      <c r="GB18" s="1792">
        <v>0.75</v>
      </c>
      <c r="GC18" s="1793">
        <v>-0.25</v>
      </c>
      <c r="GD18" s="1794">
        <v>-0.5</v>
      </c>
      <c r="GE18" s="1795">
        <f t="shared" si="99"/>
        <v>0</v>
      </c>
      <c r="GF18" s="600" t="str">
        <f t="shared" si="100"/>
        <v>TJ19</v>
      </c>
      <c r="GG18" s="1130">
        <v>0</v>
      </c>
      <c r="GH18" s="1131">
        <v>0</v>
      </c>
      <c r="GI18" s="1130"/>
      <c r="GJ18" s="1131"/>
      <c r="GK18" s="1638">
        <f t="shared" si="101"/>
        <v>480</v>
      </c>
      <c r="GL18" s="1636">
        <f t="shared" si="102"/>
        <v>480</v>
      </c>
      <c r="GM18" s="1637">
        <f>IF(ABS(GK18-GL18)&gt;='Job Info.'!$L$22,ABS(GK18-GL18),0)</f>
        <v>0</v>
      </c>
      <c r="HA18" s="1269" t="s">
        <v>1449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v>0</v>
      </c>
      <c r="HO18" s="1270">
        <v>6.75</v>
      </c>
      <c r="HP18" s="1270">
        <v>2</v>
      </c>
      <c r="HQ18" s="1273" t="s">
        <v>116</v>
      </c>
      <c r="HR18" s="1270" t="s">
        <v>116</v>
      </c>
      <c r="HS18" s="1270" t="s">
        <v>116</v>
      </c>
      <c r="HT18" s="1270">
        <v>0</v>
      </c>
      <c r="HU18" s="1270">
        <v>2.25</v>
      </c>
      <c r="HV18" s="1270">
        <v>0</v>
      </c>
      <c r="HW18" s="1272">
        <v>2</v>
      </c>
      <c r="HX18" s="1272">
        <v>4</v>
      </c>
      <c r="HY18" s="1272" t="s">
        <v>116</v>
      </c>
      <c r="HZ18" s="1272" t="s">
        <v>116</v>
      </c>
      <c r="IA18" s="1272" t="s">
        <v>1651</v>
      </c>
      <c r="IB18" s="1272"/>
      <c r="IC18" s="1272"/>
      <c r="ID18" s="1272"/>
      <c r="IE18" s="1272"/>
      <c r="IF18" s="1274"/>
    </row>
    <row r="19" spans="1:240" ht="12.6" customHeight="1" x14ac:dyDescent="0.25">
      <c r="A19" s="1448" t="s">
        <v>1450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103"/>
        <v/>
      </c>
      <c r="O19" s="1709" t="str">
        <f t="shared" si="104"/>
        <v/>
      </c>
      <c r="P19" s="1710" t="str">
        <f t="shared" si="105"/>
        <v/>
      </c>
      <c r="Q19" s="1705" t="str">
        <f t="shared" si="7"/>
        <v/>
      </c>
      <c r="R19" s="1709" t="str">
        <f t="shared" si="8"/>
        <v/>
      </c>
      <c r="S19" s="1711" t="str">
        <f t="shared" si="9"/>
        <v/>
      </c>
      <c r="T19" s="1714">
        <v>0</v>
      </c>
      <c r="U19" s="1709">
        <v>2.25</v>
      </c>
      <c r="V19" s="1705">
        <v>0</v>
      </c>
      <c r="W19" s="1709">
        <v>2.25</v>
      </c>
      <c r="X19" s="1713">
        <v>4</v>
      </c>
      <c r="Y19" s="1781" t="str">
        <f t="shared" si="10"/>
        <v/>
      </c>
      <c r="Z19" s="1782" t="str">
        <f t="shared" si="11"/>
        <v/>
      </c>
      <c r="AA19" s="1783" t="s">
        <v>1724</v>
      </c>
      <c r="AB19" s="1413"/>
      <c r="AC19" s="964" t="b">
        <v>0</v>
      </c>
      <c r="AD19" s="441">
        <f t="shared" si="12"/>
        <v>0</v>
      </c>
      <c r="AE19" s="442">
        <f t="shared" si="13"/>
        <v>2</v>
      </c>
      <c r="AF19" s="442">
        <f t="shared" si="14"/>
        <v>0</v>
      </c>
      <c r="AG19" s="442">
        <f t="shared" si="15"/>
        <v>0</v>
      </c>
      <c r="AH19" s="443">
        <f t="shared" si="16"/>
        <v>0</v>
      </c>
      <c r="AI19" s="444" t="b">
        <v>0</v>
      </c>
      <c r="AJ19" s="238">
        <f t="shared" si="17"/>
        <v>32</v>
      </c>
      <c r="AK19" s="830" t="str">
        <f t="shared" si="18"/>
        <v>LH</v>
      </c>
      <c r="AL19" s="945" t="str">
        <f t="shared" si="19"/>
        <v/>
      </c>
      <c r="AM19" s="830">
        <f t="shared" si="20"/>
        <v>305</v>
      </c>
      <c r="AN19" s="830">
        <f t="shared" si="21"/>
        <v>180</v>
      </c>
      <c r="AO19" s="830" t="str">
        <f t="shared" si="22"/>
        <v/>
      </c>
      <c r="AP19" s="830" t="b">
        <f>IF(ISERROR(AJ19),FALSE,IF(OR(AJ19=0,ISERROR(AL19),ISERROR(AM19),ISERROR(AN19),ISERROR(AO19)),FALSE,IF(AL19&lt;&gt;"",IF(ISERROR(VLOOKUP(SUBSTITUTE(SUBSTITUTE(C19,"R",""),"A",""),TblJoistSize!$A:$A,1,FALSE)),FALSE,TRUE),TRUE)))</f>
        <v>1</v>
      </c>
      <c r="AQ19" s="1038">
        <f t="shared" si="23"/>
        <v>6</v>
      </c>
      <c r="AR19" s="945" t="b">
        <f t="shared" si="24"/>
        <v>1</v>
      </c>
      <c r="AS19" s="1038">
        <f t="shared" si="25"/>
        <v>6</v>
      </c>
      <c r="AT19" s="945" t="b">
        <f t="shared" si="26"/>
        <v>1</v>
      </c>
      <c r="AU19" s="946" t="str">
        <f t="shared" si="27"/>
        <v>LH</v>
      </c>
      <c r="AV19" s="830" t="str">
        <f t="shared" si="28"/>
        <v/>
      </c>
      <c r="AW19" s="830" t="str">
        <f t="shared" si="29"/>
        <v>LH</v>
      </c>
      <c r="AX19" s="830" t="str">
        <f t="shared" si="106"/>
        <v>J20</v>
      </c>
      <c r="AY19" s="1039" t="b">
        <f t="shared" si="30"/>
        <v>0</v>
      </c>
      <c r="AZ19" s="856" t="b">
        <f t="shared" si="31"/>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2"/>
        <v/>
      </c>
      <c r="BR19" s="910"/>
      <c r="BS19" s="672"/>
      <c r="BT19" s="713"/>
      <c r="BU19" s="714"/>
      <c r="BV19" s="1625"/>
      <c r="BW19" s="713"/>
      <c r="BX19" s="714"/>
      <c r="BY19" s="715"/>
      <c r="BZ19" s="716"/>
      <c r="CA19" s="680" t="str">
        <f>IF(ISERROR(DE19),"",IF(DE19="","",IF(VLOOKUP(BS19,SectInfo!$B:$N,10,FALSE)="","","X")))</f>
        <v/>
      </c>
      <c r="CB19" s="738"/>
      <c r="CC19" s="1551" t="str">
        <f t="shared" si="33"/>
        <v/>
      </c>
      <c r="CD19" s="910"/>
      <c r="CE19" s="717"/>
      <c r="CF19" s="736"/>
      <c r="CG19" s="737"/>
      <c r="CH19" s="591" t="str">
        <f t="shared" si="34"/>
        <v/>
      </c>
      <c r="CI19" s="592" t="str">
        <f t="shared" si="35"/>
        <v/>
      </c>
      <c r="CJ19" s="593" t="str">
        <f t="shared" si="36"/>
        <v/>
      </c>
      <c r="CK19" s="594" t="str">
        <f t="shared" si="37"/>
        <v/>
      </c>
      <c r="CL19" s="595" t="str">
        <f t="shared" si="38"/>
        <v/>
      </c>
      <c r="CM19" s="596" t="str">
        <f t="shared" si="39"/>
        <v/>
      </c>
      <c r="CN19" s="597" t="str">
        <f t="shared" si="40"/>
        <v/>
      </c>
      <c r="CO19" s="598" t="str">
        <f t="shared" si="41"/>
        <v/>
      </c>
      <c r="CP19" s="615" t="str">
        <f t="shared" si="42"/>
        <v/>
      </c>
      <c r="CQ19" s="616" t="str">
        <f t="shared" si="43"/>
        <v/>
      </c>
      <c r="CR19" s="750">
        <f t="shared" si="44"/>
        <v>5</v>
      </c>
      <c r="CS19" s="751">
        <f t="shared" si="45"/>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6"/>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47"/>
        <v>0</v>
      </c>
      <c r="DO19" s="818">
        <f t="shared" si="48"/>
        <v>0</v>
      </c>
      <c r="DP19" s="822" t="str">
        <f t="shared" si="49"/>
        <v/>
      </c>
      <c r="DQ19" s="822" t="str">
        <f t="shared" si="50"/>
        <v/>
      </c>
      <c r="DR19" s="822" t="str">
        <f t="shared" si="51"/>
        <v/>
      </c>
      <c r="DS19" s="821">
        <f t="shared" si="52"/>
        <v>0</v>
      </c>
      <c r="DT19" s="821">
        <f t="shared" si="53"/>
        <v>0</v>
      </c>
      <c r="DU19" s="821" t="str">
        <f t="shared" si="54"/>
        <v/>
      </c>
      <c r="DV19" s="822" t="str">
        <f t="shared" si="55"/>
        <v/>
      </c>
      <c r="DW19" s="856" t="str">
        <f t="shared" si="56"/>
        <v/>
      </c>
      <c r="DX19" s="1006">
        <f t="shared" si="57"/>
        <v>0</v>
      </c>
      <c r="DY19" s="822">
        <f t="shared" si="58"/>
        <v>0</v>
      </c>
      <c r="DZ19" s="821">
        <f t="shared" si="59"/>
        <v>0</v>
      </c>
      <c r="EA19" s="821" t="str">
        <f t="shared" si="60"/>
        <v/>
      </c>
      <c r="EB19" s="822" t="str">
        <f t="shared" si="61"/>
        <v/>
      </c>
      <c r="EC19" s="856" t="str">
        <f t="shared" si="62"/>
        <v/>
      </c>
      <c r="ED19" s="1006">
        <f t="shared" si="63"/>
        <v>0</v>
      </c>
      <c r="EE19" s="1293" t="str">
        <f t="shared" si="64"/>
        <v/>
      </c>
      <c r="EF19" s="1293" t="str">
        <f t="shared" si="65"/>
        <v/>
      </c>
      <c r="EG19" s="1293" t="str">
        <f t="shared" si="66"/>
        <v/>
      </c>
      <c r="EH19" s="856" t="str">
        <f t="shared" si="67"/>
        <v>ERR</v>
      </c>
      <c r="EI19" s="856" t="str">
        <f t="shared" si="68"/>
        <v>ERR</v>
      </c>
      <c r="EJ19" s="822" t="str">
        <f t="shared" si="69"/>
        <v/>
      </c>
      <c r="EK19" s="822" t="str">
        <f t="shared" si="69"/>
        <v/>
      </c>
      <c r="EL19" s="1293" t="str">
        <f t="shared" si="70"/>
        <v/>
      </c>
      <c r="EM19" s="822" t="str">
        <f t="shared" si="71"/>
        <v/>
      </c>
      <c r="EN19" s="822" t="str">
        <f t="shared" si="72"/>
        <v/>
      </c>
      <c r="EO19" s="856" t="str">
        <f t="shared" si="73"/>
        <v>ERR</v>
      </c>
      <c r="EP19" s="856" t="str">
        <f t="shared" si="74"/>
        <v>ERR</v>
      </c>
      <c r="EQ19" s="1293" t="str">
        <f t="shared" si="75"/>
        <v/>
      </c>
      <c r="ER19" s="822" t="str">
        <f t="shared" si="75"/>
        <v/>
      </c>
      <c r="ES19" s="822" t="str">
        <f t="shared" si="76"/>
        <v/>
      </c>
      <c r="ET19" s="822" t="str">
        <f t="shared" si="77"/>
        <v/>
      </c>
      <c r="EU19" s="829">
        <f t="shared" si="78"/>
        <v>4</v>
      </c>
      <c r="EV19" s="824" t="str">
        <f t="shared" si="79"/>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0"/>
        <v/>
      </c>
      <c r="FA19" s="829" t="str">
        <f>IF(AND(DE19="G", ISBLANK(BW19), ISBLANK(BX19)),VLOOKUP(MIN(BT19:BU19),TblJoistSize!$M$3:$N$10,2),IF(OR(DE19="B", DE19="G"),MIN(BW19:BX19),""))</f>
        <v/>
      </c>
      <c r="FB19" s="829" t="str">
        <f>IF(AND(DE19="G", ISBLANK(BW19), ISBLANK(BX19)),VLOOKUP(MAX(BT19:BU19),TblJoistSize!$M$3:$N$10,2),IF(OR(DE19="B", DE19="G"),MAX(BW19:BX19),""))</f>
        <v/>
      </c>
      <c r="FC19" s="829" t="str">
        <f t="shared" si="81"/>
        <v/>
      </c>
      <c r="FD19" s="821">
        <f t="shared" si="107"/>
        <v>0</v>
      </c>
      <c r="FE19" s="821">
        <f t="shared" si="82"/>
        <v>0</v>
      </c>
      <c r="FF19" s="821">
        <f t="shared" si="83"/>
        <v>0</v>
      </c>
      <c r="FG19" s="821" t="str">
        <f t="shared" si="84"/>
        <v/>
      </c>
      <c r="FH19" s="822" t="str">
        <f t="shared" si="85"/>
        <v/>
      </c>
      <c r="FI19" s="821">
        <f t="shared" si="108"/>
        <v>0</v>
      </c>
      <c r="FJ19" s="821">
        <f t="shared" si="86"/>
        <v>0</v>
      </c>
      <c r="FK19" s="821">
        <f t="shared" si="87"/>
        <v>0</v>
      </c>
      <c r="FL19" s="821" t="str">
        <f t="shared" si="88"/>
        <v/>
      </c>
      <c r="FM19" s="822" t="str">
        <f t="shared" si="89"/>
        <v/>
      </c>
      <c r="FN19" s="822" t="e">
        <f t="shared" si="90"/>
        <v>#VALUE!</v>
      </c>
      <c r="FO19" s="940" t="e">
        <f t="shared" si="91"/>
        <v>#VALUE!</v>
      </c>
      <c r="FP19" s="940" t="e">
        <f t="shared" si="92"/>
        <v>#VALUE!</v>
      </c>
      <c r="FQ19" s="830" t="e">
        <f t="shared" si="93"/>
        <v>#VALUE!</v>
      </c>
      <c r="FR19" s="831" t="e">
        <f t="shared" si="94"/>
        <v>#VALUE!</v>
      </c>
      <c r="FS19" s="832" t="str">
        <f t="shared" si="95"/>
        <v/>
      </c>
      <c r="FT19" s="833" t="str">
        <f t="shared" si="96"/>
        <v/>
      </c>
      <c r="FU19" s="870">
        <f t="shared" si="97"/>
        <v>0</v>
      </c>
      <c r="FV19" s="871">
        <f t="shared" si="98"/>
        <v>0</v>
      </c>
      <c r="GA19" s="1791">
        <v>50</v>
      </c>
      <c r="GB19" s="1792">
        <v>0</v>
      </c>
      <c r="GC19" s="1793">
        <v>-0.25</v>
      </c>
      <c r="GD19" s="1794">
        <v>-0.25</v>
      </c>
      <c r="GE19" s="1795">
        <f t="shared" si="99"/>
        <v>0</v>
      </c>
      <c r="GF19" s="600" t="str">
        <f t="shared" si="100"/>
        <v>J20</v>
      </c>
      <c r="GG19" s="1130">
        <v>0</v>
      </c>
      <c r="GH19" s="1131">
        <v>0</v>
      </c>
      <c r="GI19" s="1130"/>
      <c r="GJ19" s="1131"/>
      <c r="GK19" s="1638">
        <f t="shared" si="101"/>
        <v>599.5</v>
      </c>
      <c r="GL19" s="1636">
        <f t="shared" si="102"/>
        <v>599.5</v>
      </c>
      <c r="GM19" s="1637">
        <f>IF(ABS(GK19-GL19)&gt;='Job Info.'!$L$22,ABS(GK19-GL19),0)</f>
        <v>0</v>
      </c>
      <c r="HA19" s="1269" t="s">
        <v>1450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1662</v>
      </c>
      <c r="IB19" s="1272"/>
      <c r="IC19" s="1272"/>
      <c r="ID19" s="1272"/>
      <c r="IE19" s="1272"/>
      <c r="IF19" s="1274"/>
    </row>
    <row r="20" spans="1:240" ht="12.6" customHeight="1" x14ac:dyDescent="0.25">
      <c r="A20" s="1448" t="s">
        <v>1451</v>
      </c>
      <c r="B20" s="1681">
        <v>2</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103"/>
        <v/>
      </c>
      <c r="O20" s="1709" t="str">
        <f t="shared" si="104"/>
        <v/>
      </c>
      <c r="P20" s="1710" t="str">
        <f t="shared" si="105"/>
        <v/>
      </c>
      <c r="Q20" s="1705" t="str">
        <f t="shared" si="7"/>
        <v/>
      </c>
      <c r="R20" s="1709" t="str">
        <f t="shared" si="8"/>
        <v/>
      </c>
      <c r="S20" s="1711" t="str">
        <f t="shared" si="9"/>
        <v/>
      </c>
      <c r="T20" s="1714">
        <v>0</v>
      </c>
      <c r="U20" s="1709">
        <v>2.25</v>
      </c>
      <c r="V20" s="1705">
        <v>0</v>
      </c>
      <c r="W20" s="1709">
        <v>2.25</v>
      </c>
      <c r="X20" s="1713">
        <v>4</v>
      </c>
      <c r="Y20" s="1781" t="str">
        <f t="shared" si="10"/>
        <v/>
      </c>
      <c r="Z20" s="1782" t="str">
        <f t="shared" si="11"/>
        <v/>
      </c>
      <c r="AA20" s="1783" t="s">
        <v>1725</v>
      </c>
      <c r="AB20" s="1413"/>
      <c r="AC20" s="964" t="b">
        <v>0</v>
      </c>
      <c r="AD20" s="441">
        <f t="shared" si="12"/>
        <v>0</v>
      </c>
      <c r="AE20" s="442">
        <f t="shared" si="13"/>
        <v>2</v>
      </c>
      <c r="AF20" s="442">
        <f t="shared" si="14"/>
        <v>0</v>
      </c>
      <c r="AG20" s="442">
        <f t="shared" si="15"/>
        <v>0</v>
      </c>
      <c r="AH20" s="443">
        <f t="shared" si="16"/>
        <v>0</v>
      </c>
      <c r="AI20" s="444" t="b">
        <v>0</v>
      </c>
      <c r="AJ20" s="238">
        <f t="shared" si="17"/>
        <v>32</v>
      </c>
      <c r="AK20" s="830" t="str">
        <f t="shared" si="18"/>
        <v>LH</v>
      </c>
      <c r="AL20" s="945" t="str">
        <f t="shared" si="19"/>
        <v/>
      </c>
      <c r="AM20" s="830">
        <f t="shared" si="20"/>
        <v>305</v>
      </c>
      <c r="AN20" s="830">
        <f t="shared" si="21"/>
        <v>180</v>
      </c>
      <c r="AO20" s="830" t="str">
        <f t="shared" si="22"/>
        <v/>
      </c>
      <c r="AP20" s="830" t="b">
        <f>IF(ISERROR(AJ20),FALSE,IF(OR(AJ20=0,ISERROR(AL20),ISERROR(AM20),ISERROR(AN20),ISERROR(AO20)),FALSE,IF(AL20&lt;&gt;"",IF(ISERROR(VLOOKUP(SUBSTITUTE(SUBSTITUTE(C20,"R",""),"A",""),TblJoistSize!$A:$A,1,FALSE)),FALSE,TRUE),TRUE)))</f>
        <v>1</v>
      </c>
      <c r="AQ20" s="1038">
        <f t="shared" si="23"/>
        <v>6</v>
      </c>
      <c r="AR20" s="945" t="b">
        <f t="shared" si="24"/>
        <v>1</v>
      </c>
      <c r="AS20" s="1038">
        <f t="shared" si="25"/>
        <v>6</v>
      </c>
      <c r="AT20" s="945" t="b">
        <f t="shared" si="26"/>
        <v>1</v>
      </c>
      <c r="AU20" s="946" t="str">
        <f t="shared" si="27"/>
        <v>LH</v>
      </c>
      <c r="AV20" s="830" t="str">
        <f t="shared" si="28"/>
        <v/>
      </c>
      <c r="AW20" s="830" t="str">
        <f t="shared" si="29"/>
        <v>LH</v>
      </c>
      <c r="AX20" s="830" t="str">
        <f t="shared" si="106"/>
        <v>J21</v>
      </c>
      <c r="AY20" s="1039" t="b">
        <f t="shared" si="30"/>
        <v>0</v>
      </c>
      <c r="AZ20" s="856" t="b">
        <f t="shared" si="31"/>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2"/>
        <v/>
      </c>
      <c r="BR20" s="910"/>
      <c r="BS20" s="672"/>
      <c r="BT20" s="713"/>
      <c r="BU20" s="714"/>
      <c r="BV20" s="1625"/>
      <c r="BW20" s="713"/>
      <c r="BX20" s="714"/>
      <c r="BY20" s="715"/>
      <c r="BZ20" s="716"/>
      <c r="CA20" s="680" t="str">
        <f>IF(ISERROR(DE20),"",IF(DE20="","",IF(VLOOKUP(BS20,SectInfo!$B:$N,10,FALSE)="","","X")))</f>
        <v/>
      </c>
      <c r="CB20" s="738"/>
      <c r="CC20" s="1551" t="str">
        <f t="shared" si="33"/>
        <v/>
      </c>
      <c r="CD20" s="910"/>
      <c r="CE20" s="717"/>
      <c r="CF20" s="736"/>
      <c r="CG20" s="737"/>
      <c r="CH20" s="591" t="str">
        <f t="shared" si="34"/>
        <v/>
      </c>
      <c r="CI20" s="592" t="str">
        <f t="shared" si="35"/>
        <v/>
      </c>
      <c r="CJ20" s="593" t="str">
        <f t="shared" si="36"/>
        <v/>
      </c>
      <c r="CK20" s="594" t="str">
        <f t="shared" si="37"/>
        <v/>
      </c>
      <c r="CL20" s="595" t="str">
        <f t="shared" si="38"/>
        <v/>
      </c>
      <c r="CM20" s="596" t="str">
        <f t="shared" si="39"/>
        <v/>
      </c>
      <c r="CN20" s="597" t="str">
        <f t="shared" si="40"/>
        <v/>
      </c>
      <c r="CO20" s="598" t="str">
        <f t="shared" si="41"/>
        <v/>
      </c>
      <c r="CP20" s="615" t="str">
        <f t="shared" si="42"/>
        <v/>
      </c>
      <c r="CQ20" s="616" t="str">
        <f t="shared" si="43"/>
        <v/>
      </c>
      <c r="CR20" s="750">
        <f t="shared" si="44"/>
        <v>5</v>
      </c>
      <c r="CS20" s="751">
        <f t="shared" si="45"/>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6"/>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47"/>
        <v>0</v>
      </c>
      <c r="DO20" s="818">
        <f t="shared" si="48"/>
        <v>0</v>
      </c>
      <c r="DP20" s="822" t="str">
        <f t="shared" si="49"/>
        <v/>
      </c>
      <c r="DQ20" s="822" t="str">
        <f t="shared" si="50"/>
        <v/>
      </c>
      <c r="DR20" s="822" t="str">
        <f t="shared" si="51"/>
        <v/>
      </c>
      <c r="DS20" s="821">
        <f t="shared" si="52"/>
        <v>0</v>
      </c>
      <c r="DT20" s="821">
        <f t="shared" si="53"/>
        <v>0</v>
      </c>
      <c r="DU20" s="821" t="str">
        <f t="shared" si="54"/>
        <v/>
      </c>
      <c r="DV20" s="822" t="str">
        <f t="shared" si="55"/>
        <v/>
      </c>
      <c r="DW20" s="856" t="str">
        <f t="shared" si="56"/>
        <v/>
      </c>
      <c r="DX20" s="1006">
        <f t="shared" si="57"/>
        <v>0</v>
      </c>
      <c r="DY20" s="822">
        <f t="shared" si="58"/>
        <v>0</v>
      </c>
      <c r="DZ20" s="821">
        <f t="shared" si="59"/>
        <v>0</v>
      </c>
      <c r="EA20" s="821" t="str">
        <f t="shared" si="60"/>
        <v/>
      </c>
      <c r="EB20" s="822" t="str">
        <f t="shared" si="61"/>
        <v/>
      </c>
      <c r="EC20" s="856" t="str">
        <f t="shared" si="62"/>
        <v/>
      </c>
      <c r="ED20" s="1006">
        <f t="shared" si="63"/>
        <v>0</v>
      </c>
      <c r="EE20" s="1293" t="str">
        <f t="shared" si="64"/>
        <v/>
      </c>
      <c r="EF20" s="1293" t="str">
        <f t="shared" si="65"/>
        <v/>
      </c>
      <c r="EG20" s="1293" t="str">
        <f t="shared" si="66"/>
        <v/>
      </c>
      <c r="EH20" s="856" t="str">
        <f t="shared" si="67"/>
        <v>ERR</v>
      </c>
      <c r="EI20" s="856" t="str">
        <f t="shared" si="68"/>
        <v>ERR</v>
      </c>
      <c r="EJ20" s="822" t="str">
        <f t="shared" si="69"/>
        <v/>
      </c>
      <c r="EK20" s="822" t="str">
        <f t="shared" si="69"/>
        <v/>
      </c>
      <c r="EL20" s="1293" t="str">
        <f t="shared" si="70"/>
        <v/>
      </c>
      <c r="EM20" s="822" t="str">
        <f t="shared" si="71"/>
        <v/>
      </c>
      <c r="EN20" s="822" t="str">
        <f t="shared" si="72"/>
        <v/>
      </c>
      <c r="EO20" s="856" t="str">
        <f t="shared" si="73"/>
        <v>ERR</v>
      </c>
      <c r="EP20" s="856" t="str">
        <f t="shared" si="74"/>
        <v>ERR</v>
      </c>
      <c r="EQ20" s="1293" t="str">
        <f t="shared" si="75"/>
        <v/>
      </c>
      <c r="ER20" s="822" t="str">
        <f t="shared" si="75"/>
        <v/>
      </c>
      <c r="ES20" s="822" t="str">
        <f t="shared" si="76"/>
        <v/>
      </c>
      <c r="ET20" s="822" t="str">
        <f t="shared" si="77"/>
        <v/>
      </c>
      <c r="EU20" s="829">
        <f t="shared" si="78"/>
        <v>4</v>
      </c>
      <c r="EV20" s="824" t="str">
        <f t="shared" si="79"/>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0"/>
        <v/>
      </c>
      <c r="FA20" s="829" t="str">
        <f>IF(AND(DE20="G", ISBLANK(BW20), ISBLANK(BX20)),VLOOKUP(MIN(BT20:BU20),TblJoistSize!$M$3:$N$10,2),IF(OR(DE20="B", DE20="G"),MIN(BW20:BX20),""))</f>
        <v/>
      </c>
      <c r="FB20" s="829" t="str">
        <f>IF(AND(DE20="G", ISBLANK(BW20), ISBLANK(BX20)),VLOOKUP(MAX(BT20:BU20),TblJoistSize!$M$3:$N$10,2),IF(OR(DE20="B", DE20="G"),MAX(BW20:BX20),""))</f>
        <v/>
      </c>
      <c r="FC20" s="829" t="str">
        <f t="shared" si="81"/>
        <v/>
      </c>
      <c r="FD20" s="821">
        <f t="shared" si="107"/>
        <v>0</v>
      </c>
      <c r="FE20" s="821">
        <f t="shared" si="82"/>
        <v>0</v>
      </c>
      <c r="FF20" s="821">
        <f t="shared" si="83"/>
        <v>0</v>
      </c>
      <c r="FG20" s="821" t="str">
        <f t="shared" si="84"/>
        <v/>
      </c>
      <c r="FH20" s="822" t="str">
        <f t="shared" si="85"/>
        <v/>
      </c>
      <c r="FI20" s="821">
        <f t="shared" si="108"/>
        <v>0</v>
      </c>
      <c r="FJ20" s="821">
        <f t="shared" si="86"/>
        <v>0</v>
      </c>
      <c r="FK20" s="821">
        <f t="shared" si="87"/>
        <v>0</v>
      </c>
      <c r="FL20" s="821" t="str">
        <f t="shared" si="88"/>
        <v/>
      </c>
      <c r="FM20" s="822" t="str">
        <f t="shared" si="89"/>
        <v/>
      </c>
      <c r="FN20" s="822" t="e">
        <f t="shared" si="90"/>
        <v>#VALUE!</v>
      </c>
      <c r="FO20" s="940" t="e">
        <f t="shared" si="91"/>
        <v>#VALUE!</v>
      </c>
      <c r="FP20" s="940" t="e">
        <f t="shared" si="92"/>
        <v>#VALUE!</v>
      </c>
      <c r="FQ20" s="830" t="e">
        <f t="shared" si="93"/>
        <v>#VALUE!</v>
      </c>
      <c r="FR20" s="831" t="e">
        <f t="shared" si="94"/>
        <v>#VALUE!</v>
      </c>
      <c r="FS20" s="832" t="str">
        <f t="shared" si="95"/>
        <v/>
      </c>
      <c r="FT20" s="833" t="str">
        <f t="shared" si="96"/>
        <v/>
      </c>
      <c r="FU20" s="870">
        <f t="shared" si="97"/>
        <v>0</v>
      </c>
      <c r="FV20" s="871">
        <f t="shared" si="98"/>
        <v>0</v>
      </c>
      <c r="GA20" s="1791">
        <v>50</v>
      </c>
      <c r="GB20" s="1792">
        <v>0</v>
      </c>
      <c r="GC20" s="1793">
        <v>-0.25</v>
      </c>
      <c r="GD20" s="1794">
        <v>-0.25</v>
      </c>
      <c r="GE20" s="1795">
        <f t="shared" si="99"/>
        <v>0</v>
      </c>
      <c r="GF20" s="600" t="str">
        <f t="shared" si="100"/>
        <v>J21</v>
      </c>
      <c r="GG20" s="1130">
        <v>0</v>
      </c>
      <c r="GH20" s="1131">
        <v>0</v>
      </c>
      <c r="GI20" s="1130"/>
      <c r="GJ20" s="1131"/>
      <c r="GK20" s="1638">
        <f t="shared" si="101"/>
        <v>599.5</v>
      </c>
      <c r="GL20" s="1636">
        <f t="shared" si="102"/>
        <v>599.5</v>
      </c>
      <c r="GM20" s="1637">
        <f>IF(ABS(GK20-GL20)&gt;='Job Info.'!$L$22,ABS(GK20-GL20),0)</f>
        <v>0</v>
      </c>
      <c r="HA20" s="1269" t="s">
        <v>1451</v>
      </c>
      <c r="HB20" s="1270">
        <v>2</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1663</v>
      </c>
      <c r="IB20" s="1272"/>
      <c r="IC20" s="1272"/>
      <c r="ID20" s="1272"/>
      <c r="IE20" s="1272"/>
      <c r="IF20" s="1274"/>
    </row>
    <row r="21" spans="1:240" ht="12.6" customHeight="1" x14ac:dyDescent="0.25">
      <c r="A21" s="1448" t="s">
        <v>1452</v>
      </c>
      <c r="B21" s="1681">
        <v>2</v>
      </c>
      <c r="C21" s="1449" t="s">
        <v>1592</v>
      </c>
      <c r="D21" s="1705">
        <v>49</v>
      </c>
      <c r="E21" s="1706">
        <v>11.5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103"/>
        <v/>
      </c>
      <c r="O21" s="1709" t="str">
        <f t="shared" si="104"/>
        <v/>
      </c>
      <c r="P21" s="1710" t="str">
        <f t="shared" si="105"/>
        <v/>
      </c>
      <c r="Q21" s="1705" t="str">
        <f t="shared" si="7"/>
        <v/>
      </c>
      <c r="R21" s="1709" t="str">
        <f t="shared" si="8"/>
        <v/>
      </c>
      <c r="S21" s="1711" t="str">
        <f t="shared" si="9"/>
        <v/>
      </c>
      <c r="T21" s="1714">
        <v>0</v>
      </c>
      <c r="U21" s="1709">
        <v>2.25</v>
      </c>
      <c r="V21" s="1705">
        <v>0</v>
      </c>
      <c r="W21" s="1709">
        <v>2.25</v>
      </c>
      <c r="X21" s="1713">
        <v>4</v>
      </c>
      <c r="Y21" s="1781" t="str">
        <f t="shared" si="10"/>
        <v/>
      </c>
      <c r="Z21" s="1782" t="str">
        <f t="shared" si="11"/>
        <v/>
      </c>
      <c r="AA21" s="1783" t="s">
        <v>1726</v>
      </c>
      <c r="AB21" s="1413"/>
      <c r="AC21" s="964" t="b">
        <v>0</v>
      </c>
      <c r="AD21" s="441">
        <f t="shared" si="12"/>
        <v>0</v>
      </c>
      <c r="AE21" s="442">
        <f t="shared" si="13"/>
        <v>2</v>
      </c>
      <c r="AF21" s="442">
        <f t="shared" si="14"/>
        <v>0</v>
      </c>
      <c r="AG21" s="442">
        <f t="shared" si="15"/>
        <v>0</v>
      </c>
      <c r="AH21" s="443">
        <f t="shared" si="16"/>
        <v>0</v>
      </c>
      <c r="AI21" s="444" t="b">
        <v>0</v>
      </c>
      <c r="AJ21" s="238">
        <f t="shared" si="17"/>
        <v>32</v>
      </c>
      <c r="AK21" s="830" t="str">
        <f t="shared" si="18"/>
        <v>LH</v>
      </c>
      <c r="AL21" s="945" t="str">
        <f t="shared" si="19"/>
        <v/>
      </c>
      <c r="AM21" s="830">
        <f t="shared" si="20"/>
        <v>305</v>
      </c>
      <c r="AN21" s="830">
        <f t="shared" si="21"/>
        <v>180</v>
      </c>
      <c r="AO21" s="830" t="str">
        <f t="shared" si="22"/>
        <v/>
      </c>
      <c r="AP21" s="830" t="b">
        <f>IF(ISERROR(AJ21),FALSE,IF(OR(AJ21=0,ISERROR(AL21),ISERROR(AM21),ISERROR(AN21),ISERROR(AO21)),FALSE,IF(AL21&lt;&gt;"",IF(ISERROR(VLOOKUP(SUBSTITUTE(SUBSTITUTE(C21,"R",""),"A",""),TblJoistSize!$A:$A,1,FALSE)),FALSE,TRUE),TRUE)))</f>
        <v>1</v>
      </c>
      <c r="AQ21" s="1038">
        <f t="shared" si="23"/>
        <v>6</v>
      </c>
      <c r="AR21" s="945" t="b">
        <f t="shared" si="24"/>
        <v>1</v>
      </c>
      <c r="AS21" s="1038">
        <f t="shared" si="25"/>
        <v>6</v>
      </c>
      <c r="AT21" s="945" t="b">
        <f t="shared" si="26"/>
        <v>1</v>
      </c>
      <c r="AU21" s="946" t="str">
        <f t="shared" si="27"/>
        <v>LH</v>
      </c>
      <c r="AV21" s="830" t="str">
        <f t="shared" si="28"/>
        <v/>
      </c>
      <c r="AW21" s="830" t="str">
        <f t="shared" si="29"/>
        <v>LH</v>
      </c>
      <c r="AX21" s="830" t="str">
        <f t="shared" si="106"/>
        <v>J22</v>
      </c>
      <c r="AY21" s="1039" t="b">
        <f t="shared" si="30"/>
        <v>0</v>
      </c>
      <c r="AZ21" s="856" t="b">
        <f t="shared" si="31"/>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2"/>
        <v/>
      </c>
      <c r="BR21" s="910"/>
      <c r="BS21" s="672"/>
      <c r="BT21" s="713"/>
      <c r="BU21" s="714"/>
      <c r="BV21" s="1625"/>
      <c r="BW21" s="713"/>
      <c r="BX21" s="714"/>
      <c r="BY21" s="715"/>
      <c r="BZ21" s="716"/>
      <c r="CA21" s="680" t="str">
        <f>IF(ISERROR(DE21),"",IF(DE21="","",IF(VLOOKUP(BS21,SectInfo!$B:$N,10,FALSE)="","","X")))</f>
        <v/>
      </c>
      <c r="CB21" s="738"/>
      <c r="CC21" s="1551" t="str">
        <f t="shared" si="33"/>
        <v/>
      </c>
      <c r="CD21" s="910"/>
      <c r="CE21" s="717"/>
      <c r="CF21" s="736"/>
      <c r="CG21" s="737"/>
      <c r="CH21" s="591" t="str">
        <f t="shared" si="34"/>
        <v/>
      </c>
      <c r="CI21" s="592" t="str">
        <f t="shared" si="35"/>
        <v/>
      </c>
      <c r="CJ21" s="593" t="str">
        <f t="shared" si="36"/>
        <v/>
      </c>
      <c r="CK21" s="594" t="str">
        <f t="shared" si="37"/>
        <v/>
      </c>
      <c r="CL21" s="595" t="str">
        <f t="shared" si="38"/>
        <v/>
      </c>
      <c r="CM21" s="596" t="str">
        <f t="shared" si="39"/>
        <v/>
      </c>
      <c r="CN21" s="597" t="str">
        <f t="shared" si="40"/>
        <v/>
      </c>
      <c r="CO21" s="598" t="str">
        <f t="shared" si="41"/>
        <v/>
      </c>
      <c r="CP21" s="615" t="str">
        <f t="shared" si="42"/>
        <v/>
      </c>
      <c r="CQ21" s="616" t="str">
        <f t="shared" si="43"/>
        <v/>
      </c>
      <c r="CR21" s="750">
        <f t="shared" si="44"/>
        <v>5</v>
      </c>
      <c r="CS21" s="751">
        <f t="shared" si="45"/>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6"/>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47"/>
        <v>0</v>
      </c>
      <c r="DO21" s="818">
        <f t="shared" si="48"/>
        <v>0</v>
      </c>
      <c r="DP21" s="822" t="str">
        <f t="shared" si="49"/>
        <v/>
      </c>
      <c r="DQ21" s="822" t="str">
        <f t="shared" si="50"/>
        <v/>
      </c>
      <c r="DR21" s="822" t="str">
        <f t="shared" si="51"/>
        <v/>
      </c>
      <c r="DS21" s="821">
        <f t="shared" si="52"/>
        <v>0</v>
      </c>
      <c r="DT21" s="821">
        <f t="shared" si="53"/>
        <v>0</v>
      </c>
      <c r="DU21" s="821" t="str">
        <f t="shared" si="54"/>
        <v/>
      </c>
      <c r="DV21" s="822" t="str">
        <f t="shared" si="55"/>
        <v/>
      </c>
      <c r="DW21" s="856" t="str">
        <f t="shared" si="56"/>
        <v/>
      </c>
      <c r="DX21" s="1006">
        <f t="shared" si="57"/>
        <v>0</v>
      </c>
      <c r="DY21" s="822">
        <f t="shared" si="58"/>
        <v>0</v>
      </c>
      <c r="DZ21" s="821">
        <f t="shared" si="59"/>
        <v>0</v>
      </c>
      <c r="EA21" s="821" t="str">
        <f t="shared" si="60"/>
        <v/>
      </c>
      <c r="EB21" s="822" t="str">
        <f t="shared" si="61"/>
        <v/>
      </c>
      <c r="EC21" s="856" t="str">
        <f t="shared" si="62"/>
        <v/>
      </c>
      <c r="ED21" s="1006">
        <f t="shared" si="63"/>
        <v>0</v>
      </c>
      <c r="EE21" s="1293" t="str">
        <f t="shared" si="64"/>
        <v/>
      </c>
      <c r="EF21" s="1293" t="str">
        <f t="shared" si="65"/>
        <v/>
      </c>
      <c r="EG21" s="1293" t="str">
        <f t="shared" si="66"/>
        <v/>
      </c>
      <c r="EH21" s="856" t="str">
        <f t="shared" si="67"/>
        <v>ERR</v>
      </c>
      <c r="EI21" s="856" t="str">
        <f t="shared" si="68"/>
        <v>ERR</v>
      </c>
      <c r="EJ21" s="822" t="str">
        <f t="shared" si="69"/>
        <v/>
      </c>
      <c r="EK21" s="822" t="str">
        <f t="shared" si="69"/>
        <v/>
      </c>
      <c r="EL21" s="1293" t="str">
        <f t="shared" si="70"/>
        <v/>
      </c>
      <c r="EM21" s="822" t="str">
        <f t="shared" si="71"/>
        <v/>
      </c>
      <c r="EN21" s="822" t="str">
        <f t="shared" si="72"/>
        <v/>
      </c>
      <c r="EO21" s="856" t="str">
        <f t="shared" si="73"/>
        <v>ERR</v>
      </c>
      <c r="EP21" s="856" t="str">
        <f t="shared" si="74"/>
        <v>ERR</v>
      </c>
      <c r="EQ21" s="1293" t="str">
        <f t="shared" si="75"/>
        <v/>
      </c>
      <c r="ER21" s="822" t="str">
        <f t="shared" si="75"/>
        <v/>
      </c>
      <c r="ES21" s="822" t="str">
        <f t="shared" si="76"/>
        <v/>
      </c>
      <c r="ET21" s="822" t="str">
        <f t="shared" si="77"/>
        <v/>
      </c>
      <c r="EU21" s="829">
        <f t="shared" si="78"/>
        <v>4</v>
      </c>
      <c r="EV21" s="824" t="str">
        <f t="shared" si="79"/>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0"/>
        <v/>
      </c>
      <c r="FA21" s="829" t="str">
        <f>IF(AND(DE21="G", ISBLANK(BW21), ISBLANK(BX21)),VLOOKUP(MIN(BT21:BU21),TblJoistSize!$M$3:$N$10,2),IF(OR(DE21="B", DE21="G"),MIN(BW21:BX21),""))</f>
        <v/>
      </c>
      <c r="FB21" s="829" t="str">
        <f>IF(AND(DE21="G", ISBLANK(BW21), ISBLANK(BX21)),VLOOKUP(MAX(BT21:BU21),TblJoistSize!$M$3:$N$10,2),IF(OR(DE21="B", DE21="G"),MAX(BW21:BX21),""))</f>
        <v/>
      </c>
      <c r="FC21" s="829" t="str">
        <f t="shared" si="81"/>
        <v/>
      </c>
      <c r="FD21" s="821">
        <f t="shared" si="107"/>
        <v>0</v>
      </c>
      <c r="FE21" s="821">
        <f t="shared" si="82"/>
        <v>0</v>
      </c>
      <c r="FF21" s="821">
        <f t="shared" si="83"/>
        <v>0</v>
      </c>
      <c r="FG21" s="821" t="str">
        <f t="shared" si="84"/>
        <v/>
      </c>
      <c r="FH21" s="822" t="str">
        <f t="shared" si="85"/>
        <v/>
      </c>
      <c r="FI21" s="821">
        <f t="shared" si="108"/>
        <v>0</v>
      </c>
      <c r="FJ21" s="821">
        <f t="shared" si="86"/>
        <v>0</v>
      </c>
      <c r="FK21" s="821">
        <f t="shared" si="87"/>
        <v>0</v>
      </c>
      <c r="FL21" s="821" t="str">
        <f t="shared" si="88"/>
        <v/>
      </c>
      <c r="FM21" s="822" t="str">
        <f t="shared" si="89"/>
        <v/>
      </c>
      <c r="FN21" s="822" t="e">
        <f t="shared" si="90"/>
        <v>#VALUE!</v>
      </c>
      <c r="FO21" s="940" t="e">
        <f t="shared" si="91"/>
        <v>#VALUE!</v>
      </c>
      <c r="FP21" s="940" t="e">
        <f t="shared" si="92"/>
        <v>#VALUE!</v>
      </c>
      <c r="FQ21" s="830" t="e">
        <f t="shared" si="93"/>
        <v>#VALUE!</v>
      </c>
      <c r="FR21" s="831" t="e">
        <f t="shared" si="94"/>
        <v>#VALUE!</v>
      </c>
      <c r="FS21" s="832" t="str">
        <f t="shared" si="95"/>
        <v/>
      </c>
      <c r="FT21" s="833" t="str">
        <f t="shared" si="96"/>
        <v/>
      </c>
      <c r="FU21" s="870">
        <f t="shared" si="97"/>
        <v>0</v>
      </c>
      <c r="FV21" s="871">
        <f t="shared" si="98"/>
        <v>0</v>
      </c>
      <c r="GA21" s="1791">
        <v>50</v>
      </c>
      <c r="GB21" s="1792">
        <v>0</v>
      </c>
      <c r="GC21" s="1793">
        <v>-0.25</v>
      </c>
      <c r="GD21" s="1794">
        <v>-0.25</v>
      </c>
      <c r="GE21" s="1795">
        <f t="shared" si="99"/>
        <v>0</v>
      </c>
      <c r="GF21" s="600" t="str">
        <f t="shared" si="100"/>
        <v>J22</v>
      </c>
      <c r="GG21" s="1130">
        <v>0</v>
      </c>
      <c r="GH21" s="1131">
        <v>0</v>
      </c>
      <c r="GI21" s="1130"/>
      <c r="GJ21" s="1131"/>
      <c r="GK21" s="1638">
        <f t="shared" si="101"/>
        <v>599.5</v>
      </c>
      <c r="GL21" s="1636">
        <f t="shared" si="102"/>
        <v>599.5</v>
      </c>
      <c r="GM21" s="1637">
        <f>IF(ABS(GK21-GL21)&gt;='Job Info.'!$L$22,ABS(GK21-GL21),0)</f>
        <v>0</v>
      </c>
      <c r="HA21" s="1269" t="s">
        <v>1452</v>
      </c>
      <c r="HB21" s="1270">
        <v>2</v>
      </c>
      <c r="HC21" s="1270" t="s">
        <v>1592</v>
      </c>
      <c r="HD21" s="1271">
        <v>49</v>
      </c>
      <c r="HE21" s="1272">
        <v>11.5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2.25</v>
      </c>
      <c r="HX21" s="1272">
        <v>4</v>
      </c>
      <c r="HY21" s="1272" t="s">
        <v>116</v>
      </c>
      <c r="HZ21" s="1272" t="s">
        <v>116</v>
      </c>
      <c r="IA21" s="1272" t="s">
        <v>1664</v>
      </c>
      <c r="IB21" s="1272"/>
      <c r="IC21" s="1272"/>
      <c r="ID21" s="1272"/>
      <c r="IE21" s="1272"/>
      <c r="IF21" s="1274"/>
    </row>
    <row r="22" spans="1:240" ht="12.6" customHeight="1" x14ac:dyDescent="0.25">
      <c r="A22" s="1448" t="s">
        <v>1453</v>
      </c>
      <c r="B22" s="1681">
        <v>2</v>
      </c>
      <c r="C22" s="1449" t="s">
        <v>1592</v>
      </c>
      <c r="D22" s="1705">
        <v>49</v>
      </c>
      <c r="E22" s="1706">
        <v>11.5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103"/>
        <v/>
      </c>
      <c r="O22" s="1709" t="str">
        <f t="shared" si="104"/>
        <v/>
      </c>
      <c r="P22" s="1710" t="str">
        <f t="shared" si="105"/>
        <v/>
      </c>
      <c r="Q22" s="1705" t="str">
        <f t="shared" si="7"/>
        <v/>
      </c>
      <c r="R22" s="1709" t="str">
        <f t="shared" si="8"/>
        <v/>
      </c>
      <c r="S22" s="1711" t="str">
        <f t="shared" si="9"/>
        <v/>
      </c>
      <c r="T22" s="1714">
        <v>0</v>
      </c>
      <c r="U22" s="1709">
        <v>2.25</v>
      </c>
      <c r="V22" s="1705">
        <v>0</v>
      </c>
      <c r="W22" s="1709">
        <v>2.25</v>
      </c>
      <c r="X22" s="1713">
        <v>4</v>
      </c>
      <c r="Y22" s="1781" t="str">
        <f t="shared" si="10"/>
        <v/>
      </c>
      <c r="Z22" s="1782" t="str">
        <f t="shared" si="11"/>
        <v/>
      </c>
      <c r="AA22" s="1783" t="s">
        <v>1727</v>
      </c>
      <c r="AB22" s="1413"/>
      <c r="AC22" s="964" t="b">
        <v>0</v>
      </c>
      <c r="AD22" s="441">
        <f t="shared" si="12"/>
        <v>0</v>
      </c>
      <c r="AE22" s="442">
        <f t="shared" si="13"/>
        <v>2</v>
      </c>
      <c r="AF22" s="442">
        <f t="shared" si="14"/>
        <v>0</v>
      </c>
      <c r="AG22" s="442">
        <f t="shared" si="15"/>
        <v>0</v>
      </c>
      <c r="AH22" s="443">
        <f t="shared" si="16"/>
        <v>0</v>
      </c>
      <c r="AI22" s="444" t="b">
        <v>0</v>
      </c>
      <c r="AJ22" s="238">
        <f t="shared" si="17"/>
        <v>32</v>
      </c>
      <c r="AK22" s="830" t="str">
        <f t="shared" si="18"/>
        <v>LH</v>
      </c>
      <c r="AL22" s="945" t="str">
        <f t="shared" si="19"/>
        <v/>
      </c>
      <c r="AM22" s="830">
        <f t="shared" si="20"/>
        <v>305</v>
      </c>
      <c r="AN22" s="830">
        <f t="shared" si="21"/>
        <v>180</v>
      </c>
      <c r="AO22" s="830" t="str">
        <f t="shared" si="22"/>
        <v/>
      </c>
      <c r="AP22" s="830" t="b">
        <f>IF(ISERROR(AJ22),FALSE,IF(OR(AJ22=0,ISERROR(AL22),ISERROR(AM22),ISERROR(AN22),ISERROR(AO22)),FALSE,IF(AL22&lt;&gt;"",IF(ISERROR(VLOOKUP(SUBSTITUTE(SUBSTITUTE(C22,"R",""),"A",""),TblJoistSize!$A:$A,1,FALSE)),FALSE,TRUE),TRUE)))</f>
        <v>1</v>
      </c>
      <c r="AQ22" s="1038">
        <f t="shared" si="23"/>
        <v>6</v>
      </c>
      <c r="AR22" s="945" t="b">
        <f t="shared" si="24"/>
        <v>1</v>
      </c>
      <c r="AS22" s="1038">
        <f t="shared" si="25"/>
        <v>6</v>
      </c>
      <c r="AT22" s="945" t="b">
        <f t="shared" si="26"/>
        <v>1</v>
      </c>
      <c r="AU22" s="946" t="str">
        <f t="shared" si="27"/>
        <v>LH</v>
      </c>
      <c r="AV22" s="830" t="str">
        <f t="shared" si="28"/>
        <v/>
      </c>
      <c r="AW22" s="830" t="str">
        <f t="shared" si="29"/>
        <v>LH</v>
      </c>
      <c r="AX22" s="830" t="str">
        <f t="shared" si="106"/>
        <v>J23</v>
      </c>
      <c r="AY22" s="1039" t="b">
        <f t="shared" si="30"/>
        <v>0</v>
      </c>
      <c r="AZ22" s="856" t="b">
        <f t="shared" si="31"/>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2"/>
        <v/>
      </c>
      <c r="BR22" s="910"/>
      <c r="BS22" s="672"/>
      <c r="BT22" s="713"/>
      <c r="BU22" s="714"/>
      <c r="BV22" s="1625"/>
      <c r="BW22" s="713"/>
      <c r="BX22" s="714"/>
      <c r="BY22" s="715"/>
      <c r="BZ22" s="716"/>
      <c r="CA22" s="680" t="str">
        <f>IF(ISERROR(DE22),"",IF(DE22="","",IF(VLOOKUP(BS22,SectInfo!$B:$N,10,FALSE)="","","X")))</f>
        <v/>
      </c>
      <c r="CB22" s="738"/>
      <c r="CC22" s="1551" t="str">
        <f t="shared" si="33"/>
        <v/>
      </c>
      <c r="CD22" s="910"/>
      <c r="CE22" s="717"/>
      <c r="CF22" s="736"/>
      <c r="CG22" s="737"/>
      <c r="CH22" s="591" t="str">
        <f t="shared" si="34"/>
        <v/>
      </c>
      <c r="CI22" s="592" t="str">
        <f t="shared" si="35"/>
        <v/>
      </c>
      <c r="CJ22" s="593" t="str">
        <f t="shared" si="36"/>
        <v/>
      </c>
      <c r="CK22" s="594" t="str">
        <f t="shared" si="37"/>
        <v/>
      </c>
      <c r="CL22" s="595" t="str">
        <f t="shared" si="38"/>
        <v/>
      </c>
      <c r="CM22" s="596" t="str">
        <f t="shared" si="39"/>
        <v/>
      </c>
      <c r="CN22" s="597" t="str">
        <f t="shared" si="40"/>
        <v/>
      </c>
      <c r="CO22" s="598" t="str">
        <f t="shared" si="41"/>
        <v/>
      </c>
      <c r="CP22" s="615" t="str">
        <f t="shared" si="42"/>
        <v/>
      </c>
      <c r="CQ22" s="616" t="str">
        <f t="shared" si="43"/>
        <v/>
      </c>
      <c r="CR22" s="750">
        <f t="shared" si="44"/>
        <v>5</v>
      </c>
      <c r="CS22" s="751">
        <f t="shared" si="45"/>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6"/>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47"/>
        <v>0</v>
      </c>
      <c r="DO22" s="818">
        <f t="shared" si="48"/>
        <v>0</v>
      </c>
      <c r="DP22" s="822" t="str">
        <f t="shared" si="49"/>
        <v/>
      </c>
      <c r="DQ22" s="822" t="str">
        <f t="shared" si="50"/>
        <v/>
      </c>
      <c r="DR22" s="822" t="str">
        <f t="shared" si="51"/>
        <v/>
      </c>
      <c r="DS22" s="821">
        <f t="shared" si="52"/>
        <v>0</v>
      </c>
      <c r="DT22" s="821">
        <f t="shared" si="53"/>
        <v>0</v>
      </c>
      <c r="DU22" s="821" t="str">
        <f t="shared" si="54"/>
        <v/>
      </c>
      <c r="DV22" s="822" t="str">
        <f t="shared" si="55"/>
        <v/>
      </c>
      <c r="DW22" s="856" t="str">
        <f t="shared" si="56"/>
        <v/>
      </c>
      <c r="DX22" s="1006">
        <f t="shared" si="57"/>
        <v>0</v>
      </c>
      <c r="DY22" s="822">
        <f t="shared" si="58"/>
        <v>0</v>
      </c>
      <c r="DZ22" s="821">
        <f t="shared" si="59"/>
        <v>0</v>
      </c>
      <c r="EA22" s="821" t="str">
        <f t="shared" si="60"/>
        <v/>
      </c>
      <c r="EB22" s="822" t="str">
        <f t="shared" si="61"/>
        <v/>
      </c>
      <c r="EC22" s="856" t="str">
        <f t="shared" si="62"/>
        <v/>
      </c>
      <c r="ED22" s="1006">
        <f t="shared" si="63"/>
        <v>0</v>
      </c>
      <c r="EE22" s="1293" t="str">
        <f t="shared" si="64"/>
        <v/>
      </c>
      <c r="EF22" s="1293" t="str">
        <f t="shared" si="65"/>
        <v/>
      </c>
      <c r="EG22" s="1293" t="str">
        <f t="shared" si="66"/>
        <v/>
      </c>
      <c r="EH22" s="856" t="str">
        <f t="shared" si="67"/>
        <v>ERR</v>
      </c>
      <c r="EI22" s="856" t="str">
        <f t="shared" si="68"/>
        <v>ERR</v>
      </c>
      <c r="EJ22" s="822" t="str">
        <f t="shared" si="69"/>
        <v/>
      </c>
      <c r="EK22" s="822" t="str">
        <f t="shared" si="69"/>
        <v/>
      </c>
      <c r="EL22" s="1293" t="str">
        <f t="shared" si="70"/>
        <v/>
      </c>
      <c r="EM22" s="822" t="str">
        <f t="shared" si="71"/>
        <v/>
      </c>
      <c r="EN22" s="822" t="str">
        <f t="shared" si="72"/>
        <v/>
      </c>
      <c r="EO22" s="856" t="str">
        <f t="shared" si="73"/>
        <v>ERR</v>
      </c>
      <c r="EP22" s="856" t="str">
        <f t="shared" si="74"/>
        <v>ERR</v>
      </c>
      <c r="EQ22" s="1293" t="str">
        <f t="shared" si="75"/>
        <v/>
      </c>
      <c r="ER22" s="822" t="str">
        <f t="shared" si="75"/>
        <v/>
      </c>
      <c r="ES22" s="822" t="str">
        <f t="shared" si="76"/>
        <v/>
      </c>
      <c r="ET22" s="822" t="str">
        <f t="shared" si="77"/>
        <v/>
      </c>
      <c r="EU22" s="829">
        <f t="shared" si="78"/>
        <v>4</v>
      </c>
      <c r="EV22" s="824" t="str">
        <f t="shared" si="79"/>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0"/>
        <v/>
      </c>
      <c r="FA22" s="829" t="str">
        <f>IF(AND(DE22="G", ISBLANK(BW22), ISBLANK(BX22)),VLOOKUP(MIN(BT22:BU22),TblJoistSize!$M$3:$N$10,2),IF(OR(DE22="B", DE22="G"),MIN(BW22:BX22),""))</f>
        <v/>
      </c>
      <c r="FB22" s="829" t="str">
        <f>IF(AND(DE22="G", ISBLANK(BW22), ISBLANK(BX22)),VLOOKUP(MAX(BT22:BU22),TblJoistSize!$M$3:$N$10,2),IF(OR(DE22="B", DE22="G"),MAX(BW22:BX22),""))</f>
        <v/>
      </c>
      <c r="FC22" s="829" t="str">
        <f t="shared" si="81"/>
        <v/>
      </c>
      <c r="FD22" s="821">
        <f t="shared" si="107"/>
        <v>0</v>
      </c>
      <c r="FE22" s="821">
        <f t="shared" si="82"/>
        <v>0</v>
      </c>
      <c r="FF22" s="821">
        <f t="shared" si="83"/>
        <v>0</v>
      </c>
      <c r="FG22" s="821" t="str">
        <f t="shared" si="84"/>
        <v/>
      </c>
      <c r="FH22" s="822" t="str">
        <f t="shared" si="85"/>
        <v/>
      </c>
      <c r="FI22" s="821">
        <f t="shared" si="108"/>
        <v>0</v>
      </c>
      <c r="FJ22" s="821">
        <f t="shared" si="86"/>
        <v>0</v>
      </c>
      <c r="FK22" s="821">
        <f t="shared" si="87"/>
        <v>0</v>
      </c>
      <c r="FL22" s="821" t="str">
        <f t="shared" si="88"/>
        <v/>
      </c>
      <c r="FM22" s="822" t="str">
        <f t="shared" si="89"/>
        <v/>
      </c>
      <c r="FN22" s="822" t="e">
        <f t="shared" si="90"/>
        <v>#VALUE!</v>
      </c>
      <c r="FO22" s="940" t="e">
        <f t="shared" si="91"/>
        <v>#VALUE!</v>
      </c>
      <c r="FP22" s="940" t="e">
        <f t="shared" si="92"/>
        <v>#VALUE!</v>
      </c>
      <c r="FQ22" s="830" t="e">
        <f t="shared" si="93"/>
        <v>#VALUE!</v>
      </c>
      <c r="FR22" s="831" t="e">
        <f t="shared" si="94"/>
        <v>#VALUE!</v>
      </c>
      <c r="FS22" s="832" t="str">
        <f t="shared" si="95"/>
        <v/>
      </c>
      <c r="FT22" s="833" t="str">
        <f t="shared" si="96"/>
        <v/>
      </c>
      <c r="FU22" s="870">
        <f t="shared" si="97"/>
        <v>0</v>
      </c>
      <c r="FV22" s="871">
        <f t="shared" si="98"/>
        <v>0</v>
      </c>
      <c r="GA22" s="1791">
        <v>50</v>
      </c>
      <c r="GB22" s="1792">
        <v>0</v>
      </c>
      <c r="GC22" s="1793">
        <v>-0.25</v>
      </c>
      <c r="GD22" s="1794">
        <v>-0.25</v>
      </c>
      <c r="GE22" s="1795">
        <f t="shared" si="99"/>
        <v>0</v>
      </c>
      <c r="GF22" s="600" t="str">
        <f t="shared" si="100"/>
        <v>J23</v>
      </c>
      <c r="GG22" s="1130">
        <v>0</v>
      </c>
      <c r="GH22" s="1131">
        <v>0</v>
      </c>
      <c r="GI22" s="1130"/>
      <c r="GJ22" s="1131"/>
      <c r="GK22" s="1638">
        <f t="shared" si="101"/>
        <v>599.5</v>
      </c>
      <c r="GL22" s="1636">
        <f t="shared" si="102"/>
        <v>599.5</v>
      </c>
      <c r="GM22" s="1637">
        <f>IF(ABS(GK22-GL22)&gt;='Job Info.'!$L$22,ABS(GK22-GL22),0)</f>
        <v>0</v>
      </c>
      <c r="HA22" s="1269" t="s">
        <v>1453</v>
      </c>
      <c r="HB22" s="1270">
        <v>2</v>
      </c>
      <c r="HC22" s="1270" t="s">
        <v>1592</v>
      </c>
      <c r="HD22" s="1271">
        <v>49</v>
      </c>
      <c r="HE22" s="1272">
        <v>11.5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2.25</v>
      </c>
      <c r="HX22" s="1272">
        <v>4</v>
      </c>
      <c r="HY22" s="1272" t="s">
        <v>116</v>
      </c>
      <c r="HZ22" s="1272" t="s">
        <v>116</v>
      </c>
      <c r="IA22" s="1272" t="s">
        <v>1665</v>
      </c>
      <c r="IB22" s="1272"/>
      <c r="IC22" s="1272"/>
      <c r="ID22" s="1272"/>
      <c r="IE22" s="1272"/>
      <c r="IF22" s="1274"/>
    </row>
    <row r="23" spans="1:240" ht="12.6" customHeight="1" x14ac:dyDescent="0.25">
      <c r="A23" s="1448" t="s">
        <v>1454</v>
      </c>
      <c r="B23" s="1681">
        <v>2</v>
      </c>
      <c r="C23" s="1449" t="s">
        <v>1592</v>
      </c>
      <c r="D23" s="1705">
        <v>49</v>
      </c>
      <c r="E23" s="1706">
        <v>11.5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103"/>
        <v/>
      </c>
      <c r="O23" s="1709" t="str">
        <f t="shared" si="104"/>
        <v/>
      </c>
      <c r="P23" s="1710" t="str">
        <f t="shared" si="105"/>
        <v/>
      </c>
      <c r="Q23" s="1705" t="str">
        <f t="shared" si="7"/>
        <v/>
      </c>
      <c r="R23" s="1709" t="str">
        <f t="shared" si="8"/>
        <v/>
      </c>
      <c r="S23" s="1711" t="str">
        <f t="shared" si="9"/>
        <v/>
      </c>
      <c r="T23" s="1714">
        <v>0</v>
      </c>
      <c r="U23" s="1709">
        <v>2.25</v>
      </c>
      <c r="V23" s="1705">
        <v>0</v>
      </c>
      <c r="W23" s="1709">
        <v>2.25</v>
      </c>
      <c r="X23" s="1713">
        <v>4</v>
      </c>
      <c r="Y23" s="1781" t="str">
        <f t="shared" si="10"/>
        <v/>
      </c>
      <c r="Z23" s="1782" t="str">
        <f t="shared" si="11"/>
        <v/>
      </c>
      <c r="AA23" s="1783" t="s">
        <v>1728</v>
      </c>
      <c r="AB23" s="1413"/>
      <c r="AC23" s="964" t="b">
        <v>0</v>
      </c>
      <c r="AD23" s="441">
        <f t="shared" si="12"/>
        <v>0</v>
      </c>
      <c r="AE23" s="442">
        <f t="shared" si="13"/>
        <v>2</v>
      </c>
      <c r="AF23" s="442">
        <f t="shared" si="14"/>
        <v>0</v>
      </c>
      <c r="AG23" s="442">
        <f t="shared" si="15"/>
        <v>0</v>
      </c>
      <c r="AH23" s="443">
        <f t="shared" si="16"/>
        <v>0</v>
      </c>
      <c r="AI23" s="444" t="b">
        <v>0</v>
      </c>
      <c r="AJ23" s="238">
        <f t="shared" si="17"/>
        <v>32</v>
      </c>
      <c r="AK23" s="830" t="str">
        <f t="shared" si="18"/>
        <v>LH</v>
      </c>
      <c r="AL23" s="945" t="str">
        <f t="shared" si="19"/>
        <v/>
      </c>
      <c r="AM23" s="830">
        <f t="shared" si="20"/>
        <v>305</v>
      </c>
      <c r="AN23" s="830">
        <f t="shared" si="21"/>
        <v>180</v>
      </c>
      <c r="AO23" s="830" t="str">
        <f t="shared" si="22"/>
        <v/>
      </c>
      <c r="AP23" s="830" t="b">
        <f>IF(ISERROR(AJ23),FALSE,IF(OR(AJ23=0,ISERROR(AL23),ISERROR(AM23),ISERROR(AN23),ISERROR(AO23)),FALSE,IF(AL23&lt;&gt;"",IF(ISERROR(VLOOKUP(SUBSTITUTE(SUBSTITUTE(C23,"R",""),"A",""),TblJoistSize!$A:$A,1,FALSE)),FALSE,TRUE),TRUE)))</f>
        <v>1</v>
      </c>
      <c r="AQ23" s="1038">
        <f t="shared" si="23"/>
        <v>6</v>
      </c>
      <c r="AR23" s="945" t="b">
        <f t="shared" si="24"/>
        <v>1</v>
      </c>
      <c r="AS23" s="1038">
        <f t="shared" si="25"/>
        <v>6</v>
      </c>
      <c r="AT23" s="945" t="b">
        <f t="shared" si="26"/>
        <v>1</v>
      </c>
      <c r="AU23" s="946" t="str">
        <f t="shared" si="27"/>
        <v>LH</v>
      </c>
      <c r="AV23" s="830" t="str">
        <f t="shared" si="28"/>
        <v/>
      </c>
      <c r="AW23" s="830" t="str">
        <f t="shared" si="29"/>
        <v>LH</v>
      </c>
      <c r="AX23" s="830" t="str">
        <f t="shared" si="106"/>
        <v>J24</v>
      </c>
      <c r="AY23" s="1039" t="b">
        <f t="shared" si="30"/>
        <v>0</v>
      </c>
      <c r="AZ23" s="856" t="b">
        <f t="shared" si="31"/>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2"/>
        <v/>
      </c>
      <c r="BR23" s="910"/>
      <c r="BS23" s="672"/>
      <c r="BT23" s="713"/>
      <c r="BU23" s="714"/>
      <c r="BV23" s="1625"/>
      <c r="BW23" s="713"/>
      <c r="BX23" s="714"/>
      <c r="BY23" s="715"/>
      <c r="BZ23" s="716"/>
      <c r="CA23" s="680" t="str">
        <f>IF(ISERROR(DE23),"",IF(DE23="","",IF(VLOOKUP(BS23,SectInfo!$B:$N,10,FALSE)="","","X")))</f>
        <v/>
      </c>
      <c r="CB23" s="738"/>
      <c r="CC23" s="1551" t="str">
        <f t="shared" si="33"/>
        <v/>
      </c>
      <c r="CD23" s="910"/>
      <c r="CE23" s="717"/>
      <c r="CF23" s="736"/>
      <c r="CG23" s="737"/>
      <c r="CH23" s="591" t="str">
        <f t="shared" si="34"/>
        <v/>
      </c>
      <c r="CI23" s="592" t="str">
        <f t="shared" si="35"/>
        <v/>
      </c>
      <c r="CJ23" s="593" t="str">
        <f t="shared" si="36"/>
        <v/>
      </c>
      <c r="CK23" s="594" t="str">
        <f t="shared" si="37"/>
        <v/>
      </c>
      <c r="CL23" s="595" t="str">
        <f t="shared" si="38"/>
        <v/>
      </c>
      <c r="CM23" s="596" t="str">
        <f t="shared" si="39"/>
        <v/>
      </c>
      <c r="CN23" s="597" t="str">
        <f t="shared" si="40"/>
        <v/>
      </c>
      <c r="CO23" s="598" t="str">
        <f t="shared" si="41"/>
        <v/>
      </c>
      <c r="CP23" s="615" t="str">
        <f t="shared" si="42"/>
        <v/>
      </c>
      <c r="CQ23" s="616" t="str">
        <f t="shared" si="43"/>
        <v/>
      </c>
      <c r="CR23" s="750">
        <f t="shared" si="44"/>
        <v>5</v>
      </c>
      <c r="CS23" s="751">
        <f t="shared" si="45"/>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6"/>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47"/>
        <v>0</v>
      </c>
      <c r="DO23" s="818">
        <f t="shared" si="48"/>
        <v>0</v>
      </c>
      <c r="DP23" s="822" t="str">
        <f t="shared" si="49"/>
        <v/>
      </c>
      <c r="DQ23" s="822" t="str">
        <f t="shared" si="50"/>
        <v/>
      </c>
      <c r="DR23" s="822" t="str">
        <f t="shared" si="51"/>
        <v/>
      </c>
      <c r="DS23" s="821">
        <f t="shared" si="52"/>
        <v>0</v>
      </c>
      <c r="DT23" s="821">
        <f t="shared" si="53"/>
        <v>0</v>
      </c>
      <c r="DU23" s="821" t="str">
        <f t="shared" si="54"/>
        <v/>
      </c>
      <c r="DV23" s="822" t="str">
        <f t="shared" si="55"/>
        <v/>
      </c>
      <c r="DW23" s="856" t="str">
        <f t="shared" si="56"/>
        <v/>
      </c>
      <c r="DX23" s="1006">
        <f t="shared" si="57"/>
        <v>0</v>
      </c>
      <c r="DY23" s="822">
        <f t="shared" si="58"/>
        <v>0</v>
      </c>
      <c r="DZ23" s="821">
        <f t="shared" si="59"/>
        <v>0</v>
      </c>
      <c r="EA23" s="821" t="str">
        <f t="shared" si="60"/>
        <v/>
      </c>
      <c r="EB23" s="822" t="str">
        <f t="shared" si="61"/>
        <v/>
      </c>
      <c r="EC23" s="856" t="str">
        <f t="shared" si="62"/>
        <v/>
      </c>
      <c r="ED23" s="1006">
        <f t="shared" si="63"/>
        <v>0</v>
      </c>
      <c r="EE23" s="1293" t="str">
        <f t="shared" si="64"/>
        <v/>
      </c>
      <c r="EF23" s="1293" t="str">
        <f t="shared" si="65"/>
        <v/>
      </c>
      <c r="EG23" s="1293" t="str">
        <f t="shared" si="66"/>
        <v/>
      </c>
      <c r="EH23" s="856" t="str">
        <f t="shared" si="67"/>
        <v>ERR</v>
      </c>
      <c r="EI23" s="856" t="str">
        <f t="shared" si="68"/>
        <v>ERR</v>
      </c>
      <c r="EJ23" s="822" t="str">
        <f t="shared" si="69"/>
        <v/>
      </c>
      <c r="EK23" s="822" t="str">
        <f t="shared" si="69"/>
        <v/>
      </c>
      <c r="EL23" s="1293" t="str">
        <f t="shared" si="70"/>
        <v/>
      </c>
      <c r="EM23" s="822" t="str">
        <f t="shared" si="71"/>
        <v/>
      </c>
      <c r="EN23" s="822" t="str">
        <f t="shared" si="72"/>
        <v/>
      </c>
      <c r="EO23" s="856" t="str">
        <f t="shared" si="73"/>
        <v>ERR</v>
      </c>
      <c r="EP23" s="856" t="str">
        <f t="shared" si="74"/>
        <v>ERR</v>
      </c>
      <c r="EQ23" s="1293" t="str">
        <f t="shared" si="75"/>
        <v/>
      </c>
      <c r="ER23" s="822" t="str">
        <f t="shared" si="75"/>
        <v/>
      </c>
      <c r="ES23" s="822" t="str">
        <f t="shared" si="76"/>
        <v/>
      </c>
      <c r="ET23" s="822" t="str">
        <f t="shared" si="77"/>
        <v/>
      </c>
      <c r="EU23" s="829">
        <f t="shared" si="78"/>
        <v>4</v>
      </c>
      <c r="EV23" s="824" t="str">
        <f t="shared" si="79"/>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0"/>
        <v/>
      </c>
      <c r="FA23" s="829" t="str">
        <f>IF(AND(DE23="G", ISBLANK(BW23), ISBLANK(BX23)),VLOOKUP(MIN(BT23:BU23),TblJoistSize!$M$3:$N$10,2),IF(OR(DE23="B", DE23="G"),MIN(BW23:BX23),""))</f>
        <v/>
      </c>
      <c r="FB23" s="829" t="str">
        <f>IF(AND(DE23="G", ISBLANK(BW23), ISBLANK(BX23)),VLOOKUP(MAX(BT23:BU23),TblJoistSize!$M$3:$N$10,2),IF(OR(DE23="B", DE23="G"),MAX(BW23:BX23),""))</f>
        <v/>
      </c>
      <c r="FC23" s="829" t="str">
        <f t="shared" si="81"/>
        <v/>
      </c>
      <c r="FD23" s="821">
        <f t="shared" si="107"/>
        <v>0</v>
      </c>
      <c r="FE23" s="821">
        <f t="shared" si="82"/>
        <v>0</v>
      </c>
      <c r="FF23" s="821">
        <f t="shared" si="83"/>
        <v>0</v>
      </c>
      <c r="FG23" s="821" t="str">
        <f t="shared" si="84"/>
        <v/>
      </c>
      <c r="FH23" s="822" t="str">
        <f t="shared" si="85"/>
        <v/>
      </c>
      <c r="FI23" s="821">
        <f t="shared" si="108"/>
        <v>0</v>
      </c>
      <c r="FJ23" s="821">
        <f t="shared" si="86"/>
        <v>0</v>
      </c>
      <c r="FK23" s="821">
        <f t="shared" si="87"/>
        <v>0</v>
      </c>
      <c r="FL23" s="821" t="str">
        <f t="shared" si="88"/>
        <v/>
      </c>
      <c r="FM23" s="822" t="str">
        <f t="shared" si="89"/>
        <v/>
      </c>
      <c r="FN23" s="822" t="e">
        <f t="shared" si="90"/>
        <v>#VALUE!</v>
      </c>
      <c r="FO23" s="940" t="e">
        <f t="shared" si="91"/>
        <v>#VALUE!</v>
      </c>
      <c r="FP23" s="940" t="e">
        <f t="shared" si="92"/>
        <v>#VALUE!</v>
      </c>
      <c r="FQ23" s="830" t="e">
        <f t="shared" si="93"/>
        <v>#VALUE!</v>
      </c>
      <c r="FR23" s="831" t="e">
        <f t="shared" si="94"/>
        <v>#VALUE!</v>
      </c>
      <c r="FS23" s="832" t="str">
        <f t="shared" si="95"/>
        <v/>
      </c>
      <c r="FT23" s="833" t="str">
        <f t="shared" si="96"/>
        <v/>
      </c>
      <c r="FU23" s="870">
        <f t="shared" si="97"/>
        <v>0</v>
      </c>
      <c r="FV23" s="871">
        <f t="shared" si="98"/>
        <v>0</v>
      </c>
      <c r="GA23" s="1791">
        <v>50</v>
      </c>
      <c r="GB23" s="1792">
        <v>0</v>
      </c>
      <c r="GC23" s="1793">
        <v>-0.25</v>
      </c>
      <c r="GD23" s="1794">
        <v>-0.25</v>
      </c>
      <c r="GE23" s="1795">
        <f t="shared" si="99"/>
        <v>0</v>
      </c>
      <c r="GF23" s="600" t="str">
        <f t="shared" si="100"/>
        <v>J24</v>
      </c>
      <c r="GG23" s="1130">
        <v>0</v>
      </c>
      <c r="GH23" s="1131">
        <v>0</v>
      </c>
      <c r="GI23" s="1130"/>
      <c r="GJ23" s="1131"/>
      <c r="GK23" s="1638">
        <f t="shared" si="101"/>
        <v>599.5</v>
      </c>
      <c r="GL23" s="1636">
        <f t="shared" si="102"/>
        <v>599.5</v>
      </c>
      <c r="GM23" s="1637">
        <f>IF(ABS(GK23-GL23)&gt;='Job Info.'!$L$22,ABS(GK23-GL23),0)</f>
        <v>0</v>
      </c>
      <c r="HA23" s="1269" t="s">
        <v>1454</v>
      </c>
      <c r="HB23" s="1270">
        <v>2</v>
      </c>
      <c r="HC23" s="1270" t="s">
        <v>1592</v>
      </c>
      <c r="HD23" s="1271">
        <v>49</v>
      </c>
      <c r="HE23" s="1272">
        <v>11.5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2.25</v>
      </c>
      <c r="HX23" s="1272">
        <v>4</v>
      </c>
      <c r="HY23" s="1272" t="s">
        <v>116</v>
      </c>
      <c r="HZ23" s="1272" t="s">
        <v>116</v>
      </c>
      <c r="IA23" s="1272" t="s">
        <v>1666</v>
      </c>
      <c r="IB23" s="1272"/>
      <c r="IC23" s="1272"/>
      <c r="ID23" s="1272"/>
      <c r="IE23" s="1272"/>
      <c r="IF23" s="1274"/>
    </row>
    <row r="24" spans="1:240" ht="12.6" customHeight="1" x14ac:dyDescent="0.25">
      <c r="A24" s="1448" t="s">
        <v>1455</v>
      </c>
      <c r="B24" s="1681">
        <v>136</v>
      </c>
      <c r="C24" s="1449" t="s">
        <v>1592</v>
      </c>
      <c r="D24" s="1705">
        <v>49</v>
      </c>
      <c r="E24" s="1706">
        <v>11.5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103"/>
        <v/>
      </c>
      <c r="O24" s="1709" t="str">
        <f t="shared" si="104"/>
        <v/>
      </c>
      <c r="P24" s="1710" t="str">
        <f t="shared" si="105"/>
        <v/>
      </c>
      <c r="Q24" s="1705" t="str">
        <f t="shared" si="7"/>
        <v/>
      </c>
      <c r="R24" s="1709" t="str">
        <f t="shared" si="8"/>
        <v/>
      </c>
      <c r="S24" s="1711" t="str">
        <f t="shared" si="9"/>
        <v/>
      </c>
      <c r="T24" s="1714">
        <v>0</v>
      </c>
      <c r="U24" s="1709">
        <v>2.25</v>
      </c>
      <c r="V24" s="1705">
        <v>0</v>
      </c>
      <c r="W24" s="1709">
        <v>2.25</v>
      </c>
      <c r="X24" s="1713">
        <v>4</v>
      </c>
      <c r="Y24" s="1781" t="str">
        <f t="shared" si="10"/>
        <v/>
      </c>
      <c r="Z24" s="1782" t="str">
        <f t="shared" si="11"/>
        <v/>
      </c>
      <c r="AA24" s="1783" t="s">
        <v>1729</v>
      </c>
      <c r="AB24" s="1413"/>
      <c r="AC24" s="964" t="b">
        <v>0</v>
      </c>
      <c r="AD24" s="441">
        <f t="shared" si="12"/>
        <v>0</v>
      </c>
      <c r="AE24" s="442">
        <f t="shared" si="13"/>
        <v>136</v>
      </c>
      <c r="AF24" s="442">
        <f t="shared" si="14"/>
        <v>0</v>
      </c>
      <c r="AG24" s="442">
        <f t="shared" si="15"/>
        <v>0</v>
      </c>
      <c r="AH24" s="443">
        <f t="shared" si="16"/>
        <v>0</v>
      </c>
      <c r="AI24" s="444" t="b">
        <v>0</v>
      </c>
      <c r="AJ24" s="238">
        <f t="shared" si="17"/>
        <v>32</v>
      </c>
      <c r="AK24" s="830" t="str">
        <f t="shared" si="18"/>
        <v>LH</v>
      </c>
      <c r="AL24" s="945" t="str">
        <f t="shared" si="19"/>
        <v/>
      </c>
      <c r="AM24" s="830">
        <f t="shared" si="20"/>
        <v>305</v>
      </c>
      <c r="AN24" s="830">
        <f t="shared" si="21"/>
        <v>180</v>
      </c>
      <c r="AO24" s="830" t="str">
        <f t="shared" si="22"/>
        <v/>
      </c>
      <c r="AP24" s="830" t="b">
        <f>IF(ISERROR(AJ24),FALSE,IF(OR(AJ24=0,ISERROR(AL24),ISERROR(AM24),ISERROR(AN24),ISERROR(AO24)),FALSE,IF(AL24&lt;&gt;"",IF(ISERROR(VLOOKUP(SUBSTITUTE(SUBSTITUTE(C24,"R",""),"A",""),TblJoistSize!$A:$A,1,FALSE)),FALSE,TRUE),TRUE)))</f>
        <v>1</v>
      </c>
      <c r="AQ24" s="1038">
        <f t="shared" si="23"/>
        <v>6</v>
      </c>
      <c r="AR24" s="945" t="b">
        <f t="shared" si="24"/>
        <v>1</v>
      </c>
      <c r="AS24" s="1038">
        <f t="shared" si="25"/>
        <v>6</v>
      </c>
      <c r="AT24" s="945" t="b">
        <f t="shared" si="26"/>
        <v>1</v>
      </c>
      <c r="AU24" s="946" t="str">
        <f t="shared" si="27"/>
        <v>LH</v>
      </c>
      <c r="AV24" s="830" t="str">
        <f t="shared" si="28"/>
        <v/>
      </c>
      <c r="AW24" s="830" t="str">
        <f t="shared" si="29"/>
        <v>LH</v>
      </c>
      <c r="AX24" s="830" t="str">
        <f t="shared" si="106"/>
        <v>J25</v>
      </c>
      <c r="AY24" s="1039" t="b">
        <f t="shared" si="30"/>
        <v>0</v>
      </c>
      <c r="AZ24" s="856" t="b">
        <f t="shared" si="31"/>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2"/>
        <v/>
      </c>
      <c r="BR24" s="910"/>
      <c r="BS24" s="672"/>
      <c r="BT24" s="713"/>
      <c r="BU24" s="714"/>
      <c r="BV24" s="1625"/>
      <c r="BW24" s="713"/>
      <c r="BX24" s="714"/>
      <c r="BY24" s="715"/>
      <c r="BZ24" s="716"/>
      <c r="CA24" s="680" t="str">
        <f>IF(ISERROR(DE24),"",IF(DE24="","",IF(VLOOKUP(BS24,SectInfo!$B:$N,10,FALSE)="","","X")))</f>
        <v/>
      </c>
      <c r="CB24" s="738"/>
      <c r="CC24" s="1551" t="str">
        <f t="shared" si="33"/>
        <v/>
      </c>
      <c r="CD24" s="910"/>
      <c r="CE24" s="717"/>
      <c r="CF24" s="736"/>
      <c r="CG24" s="737"/>
      <c r="CH24" s="591" t="str">
        <f t="shared" si="34"/>
        <v/>
      </c>
      <c r="CI24" s="592" t="str">
        <f t="shared" si="35"/>
        <v/>
      </c>
      <c r="CJ24" s="593" t="str">
        <f t="shared" si="36"/>
        <v/>
      </c>
      <c r="CK24" s="594" t="str">
        <f t="shared" si="37"/>
        <v/>
      </c>
      <c r="CL24" s="595" t="str">
        <f t="shared" si="38"/>
        <v/>
      </c>
      <c r="CM24" s="596" t="str">
        <f t="shared" si="39"/>
        <v/>
      </c>
      <c r="CN24" s="597" t="str">
        <f t="shared" si="40"/>
        <v/>
      </c>
      <c r="CO24" s="598" t="str">
        <f t="shared" si="41"/>
        <v/>
      </c>
      <c r="CP24" s="615" t="str">
        <f t="shared" si="42"/>
        <v/>
      </c>
      <c r="CQ24" s="616" t="str">
        <f t="shared" si="43"/>
        <v/>
      </c>
      <c r="CR24" s="750">
        <f t="shared" si="44"/>
        <v>5</v>
      </c>
      <c r="CS24" s="751">
        <f t="shared" si="45"/>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6"/>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47"/>
        <v>0</v>
      </c>
      <c r="DO24" s="818">
        <f t="shared" si="48"/>
        <v>0</v>
      </c>
      <c r="DP24" s="822" t="str">
        <f t="shared" si="49"/>
        <v/>
      </c>
      <c r="DQ24" s="822" t="str">
        <f t="shared" si="50"/>
        <v/>
      </c>
      <c r="DR24" s="822" t="str">
        <f t="shared" si="51"/>
        <v/>
      </c>
      <c r="DS24" s="821">
        <f t="shared" si="52"/>
        <v>0</v>
      </c>
      <c r="DT24" s="821">
        <f t="shared" si="53"/>
        <v>0</v>
      </c>
      <c r="DU24" s="821" t="str">
        <f t="shared" si="54"/>
        <v/>
      </c>
      <c r="DV24" s="822" t="str">
        <f t="shared" si="55"/>
        <v/>
      </c>
      <c r="DW24" s="856" t="str">
        <f t="shared" si="56"/>
        <v/>
      </c>
      <c r="DX24" s="1006">
        <f t="shared" si="57"/>
        <v>0</v>
      </c>
      <c r="DY24" s="822">
        <f t="shared" si="58"/>
        <v>0</v>
      </c>
      <c r="DZ24" s="821">
        <f t="shared" si="59"/>
        <v>0</v>
      </c>
      <c r="EA24" s="821" t="str">
        <f t="shared" si="60"/>
        <v/>
      </c>
      <c r="EB24" s="822" t="str">
        <f t="shared" si="61"/>
        <v/>
      </c>
      <c r="EC24" s="856" t="str">
        <f t="shared" si="62"/>
        <v/>
      </c>
      <c r="ED24" s="1006">
        <f t="shared" si="63"/>
        <v>0</v>
      </c>
      <c r="EE24" s="1293" t="str">
        <f t="shared" si="64"/>
        <v/>
      </c>
      <c r="EF24" s="1293" t="str">
        <f t="shared" si="65"/>
        <v/>
      </c>
      <c r="EG24" s="1293" t="str">
        <f t="shared" si="66"/>
        <v/>
      </c>
      <c r="EH24" s="856" t="str">
        <f t="shared" si="67"/>
        <v>ERR</v>
      </c>
      <c r="EI24" s="856" t="str">
        <f t="shared" si="68"/>
        <v>ERR</v>
      </c>
      <c r="EJ24" s="822" t="str">
        <f t="shared" si="69"/>
        <v/>
      </c>
      <c r="EK24" s="822" t="str">
        <f t="shared" si="69"/>
        <v/>
      </c>
      <c r="EL24" s="1293" t="str">
        <f t="shared" si="70"/>
        <v/>
      </c>
      <c r="EM24" s="822" t="str">
        <f t="shared" si="71"/>
        <v/>
      </c>
      <c r="EN24" s="822" t="str">
        <f t="shared" si="72"/>
        <v/>
      </c>
      <c r="EO24" s="856" t="str">
        <f t="shared" si="73"/>
        <v>ERR</v>
      </c>
      <c r="EP24" s="856" t="str">
        <f t="shared" si="74"/>
        <v>ERR</v>
      </c>
      <c r="EQ24" s="1293" t="str">
        <f t="shared" si="75"/>
        <v/>
      </c>
      <c r="ER24" s="822" t="str">
        <f t="shared" si="75"/>
        <v/>
      </c>
      <c r="ES24" s="822" t="str">
        <f t="shared" si="76"/>
        <v/>
      </c>
      <c r="ET24" s="822" t="str">
        <f t="shared" si="77"/>
        <v/>
      </c>
      <c r="EU24" s="829">
        <f t="shared" si="78"/>
        <v>4</v>
      </c>
      <c r="EV24" s="824" t="str">
        <f t="shared" si="79"/>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0"/>
        <v/>
      </c>
      <c r="FA24" s="829" t="str">
        <f>IF(AND(DE24="G", ISBLANK(BW24), ISBLANK(BX24)),VLOOKUP(MIN(BT24:BU24),TblJoistSize!$M$3:$N$10,2),IF(OR(DE24="B", DE24="G"),MIN(BW24:BX24),""))</f>
        <v/>
      </c>
      <c r="FB24" s="829" t="str">
        <f>IF(AND(DE24="G", ISBLANK(BW24), ISBLANK(BX24)),VLOOKUP(MAX(BT24:BU24),TblJoistSize!$M$3:$N$10,2),IF(OR(DE24="B", DE24="G"),MAX(BW24:BX24),""))</f>
        <v/>
      </c>
      <c r="FC24" s="829" t="str">
        <f t="shared" si="81"/>
        <v/>
      </c>
      <c r="FD24" s="821">
        <f t="shared" si="107"/>
        <v>0</v>
      </c>
      <c r="FE24" s="821">
        <f t="shared" si="82"/>
        <v>0</v>
      </c>
      <c r="FF24" s="821">
        <f t="shared" si="83"/>
        <v>0</v>
      </c>
      <c r="FG24" s="821" t="str">
        <f t="shared" si="84"/>
        <v/>
      </c>
      <c r="FH24" s="822" t="str">
        <f t="shared" si="85"/>
        <v/>
      </c>
      <c r="FI24" s="821">
        <f t="shared" si="108"/>
        <v>0</v>
      </c>
      <c r="FJ24" s="821">
        <f t="shared" si="86"/>
        <v>0</v>
      </c>
      <c r="FK24" s="821">
        <f t="shared" si="87"/>
        <v>0</v>
      </c>
      <c r="FL24" s="821" t="str">
        <f t="shared" si="88"/>
        <v/>
      </c>
      <c r="FM24" s="822" t="str">
        <f t="shared" si="89"/>
        <v/>
      </c>
      <c r="FN24" s="822" t="e">
        <f t="shared" si="90"/>
        <v>#VALUE!</v>
      </c>
      <c r="FO24" s="940" t="e">
        <f t="shared" si="91"/>
        <v>#VALUE!</v>
      </c>
      <c r="FP24" s="940" t="e">
        <f t="shared" si="92"/>
        <v>#VALUE!</v>
      </c>
      <c r="FQ24" s="830" t="e">
        <f t="shared" si="93"/>
        <v>#VALUE!</v>
      </c>
      <c r="FR24" s="831" t="e">
        <f t="shared" si="94"/>
        <v>#VALUE!</v>
      </c>
      <c r="FS24" s="832" t="str">
        <f t="shared" si="95"/>
        <v/>
      </c>
      <c r="FT24" s="833" t="str">
        <f t="shared" si="96"/>
        <v/>
      </c>
      <c r="FU24" s="870">
        <f t="shared" si="97"/>
        <v>0</v>
      </c>
      <c r="FV24" s="871">
        <f t="shared" si="98"/>
        <v>0</v>
      </c>
      <c r="GA24" s="1791">
        <v>50</v>
      </c>
      <c r="GB24" s="1792">
        <v>0</v>
      </c>
      <c r="GC24" s="1793">
        <v>-0.25</v>
      </c>
      <c r="GD24" s="1794">
        <v>-0.25</v>
      </c>
      <c r="GE24" s="1795">
        <f t="shared" si="99"/>
        <v>0</v>
      </c>
      <c r="GF24" s="600" t="str">
        <f t="shared" si="100"/>
        <v>J25</v>
      </c>
      <c r="GG24" s="1130">
        <v>0</v>
      </c>
      <c r="GH24" s="1131">
        <v>0</v>
      </c>
      <c r="GI24" s="1130"/>
      <c r="GJ24" s="1131"/>
      <c r="GK24" s="1638">
        <f t="shared" si="101"/>
        <v>599.5</v>
      </c>
      <c r="GL24" s="1636">
        <f t="shared" si="102"/>
        <v>599.5</v>
      </c>
      <c r="GM24" s="1637">
        <f>IF(ABS(GK24-GL24)&gt;='Job Info.'!$L$22,ABS(GK24-GL24),0)</f>
        <v>0</v>
      </c>
      <c r="HA24" s="1269" t="s">
        <v>1455</v>
      </c>
      <c r="HB24" s="1270">
        <v>136</v>
      </c>
      <c r="HC24" s="1270" t="s">
        <v>1592</v>
      </c>
      <c r="HD24" s="1271">
        <v>49</v>
      </c>
      <c r="HE24" s="1272">
        <v>11.5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2.25</v>
      </c>
      <c r="HX24" s="1272">
        <v>4</v>
      </c>
      <c r="HY24" s="1272" t="s">
        <v>116</v>
      </c>
      <c r="HZ24" s="1272" t="s">
        <v>116</v>
      </c>
      <c r="IA24" s="1272" t="s">
        <v>1667</v>
      </c>
      <c r="IB24" s="1272"/>
      <c r="IC24" s="1272"/>
      <c r="ID24" s="1272"/>
      <c r="IE24" s="1272"/>
      <c r="IF24" s="1274"/>
    </row>
    <row r="25" spans="1:240" ht="12.6" customHeight="1" x14ac:dyDescent="0.25">
      <c r="A25" s="1448" t="s">
        <v>1456</v>
      </c>
      <c r="B25" s="1681">
        <v>16</v>
      </c>
      <c r="C25" s="1449" t="s">
        <v>1592</v>
      </c>
      <c r="D25" s="1705">
        <v>49</v>
      </c>
      <c r="E25" s="1706">
        <v>11.5</v>
      </c>
      <c r="F25" s="1714" t="str">
        <f t="shared" si="1"/>
        <v/>
      </c>
      <c r="G25" s="1709" t="str">
        <f t="shared" si="2"/>
        <v/>
      </c>
      <c r="H25" s="1779" t="str">
        <f t="shared" si="3"/>
        <v/>
      </c>
      <c r="I25" s="1705" t="str">
        <f t="shared" si="4"/>
        <v/>
      </c>
      <c r="J25" s="1709" t="str">
        <f t="shared" si="5"/>
        <v/>
      </c>
      <c r="K25" s="1796" t="str">
        <f t="shared" si="6"/>
        <v/>
      </c>
      <c r="L25" s="1712">
        <v>5</v>
      </c>
      <c r="M25" s="1713">
        <v>5</v>
      </c>
      <c r="N25" s="1708">
        <v>0</v>
      </c>
      <c r="O25" s="1709">
        <v>6.75</v>
      </c>
      <c r="P25" s="1710">
        <v>2</v>
      </c>
      <c r="Q25" s="1705">
        <v>0</v>
      </c>
      <c r="R25" s="1709">
        <v>6.75</v>
      </c>
      <c r="S25" s="1711">
        <v>2</v>
      </c>
      <c r="T25" s="1714">
        <v>0</v>
      </c>
      <c r="U25" s="1709">
        <v>2.25</v>
      </c>
      <c r="V25" s="1705">
        <v>0</v>
      </c>
      <c r="W25" s="1709">
        <v>2.25</v>
      </c>
      <c r="X25" s="1713">
        <v>4</v>
      </c>
      <c r="Y25" s="1781" t="str">
        <f t="shared" si="10"/>
        <v/>
      </c>
      <c r="Z25" s="1782" t="str">
        <f t="shared" si="11"/>
        <v/>
      </c>
      <c r="AA25" s="1783" t="s">
        <v>1730</v>
      </c>
      <c r="AB25" s="1413"/>
      <c r="AC25" s="964" t="b">
        <v>0</v>
      </c>
      <c r="AD25" s="441">
        <f t="shared" si="12"/>
        <v>0</v>
      </c>
      <c r="AE25" s="442">
        <f t="shared" si="13"/>
        <v>16</v>
      </c>
      <c r="AF25" s="442">
        <f t="shared" si="14"/>
        <v>0</v>
      </c>
      <c r="AG25" s="442">
        <f t="shared" si="15"/>
        <v>0</v>
      </c>
      <c r="AH25" s="443">
        <f t="shared" si="16"/>
        <v>0</v>
      </c>
      <c r="AI25" s="444" t="b">
        <v>0</v>
      </c>
      <c r="AJ25" s="238">
        <f t="shared" si="17"/>
        <v>32</v>
      </c>
      <c r="AK25" s="830" t="str">
        <f t="shared" si="18"/>
        <v>LH</v>
      </c>
      <c r="AL25" s="945" t="str">
        <f t="shared" si="19"/>
        <v/>
      </c>
      <c r="AM25" s="830">
        <f t="shared" si="20"/>
        <v>305</v>
      </c>
      <c r="AN25" s="830">
        <f t="shared" si="21"/>
        <v>180</v>
      </c>
      <c r="AO25" s="830" t="str">
        <f t="shared" si="22"/>
        <v/>
      </c>
      <c r="AP25" s="830" t="b">
        <f>IF(ISERROR(AJ25),FALSE,IF(OR(AJ25=0,ISERROR(AL25),ISERROR(AM25),ISERROR(AN25),ISERROR(AO25)),FALSE,IF(AL25&lt;&gt;"",IF(ISERROR(VLOOKUP(SUBSTITUTE(SUBSTITUTE(C25,"R",""),"A",""),TblJoistSize!$A:$A,1,FALSE)),FALSE,TRUE),TRUE)))</f>
        <v>1</v>
      </c>
      <c r="AQ25" s="1038">
        <f t="shared" si="23"/>
        <v>6</v>
      </c>
      <c r="AR25" s="945" t="b">
        <f t="shared" si="24"/>
        <v>1</v>
      </c>
      <c r="AS25" s="1038">
        <f t="shared" si="25"/>
        <v>6</v>
      </c>
      <c r="AT25" s="945" t="b">
        <f t="shared" si="26"/>
        <v>1</v>
      </c>
      <c r="AU25" s="946" t="str">
        <f t="shared" si="27"/>
        <v>LH</v>
      </c>
      <c r="AV25" s="830" t="str">
        <f t="shared" si="28"/>
        <v/>
      </c>
      <c r="AW25" s="830" t="str">
        <f t="shared" si="29"/>
        <v>LH</v>
      </c>
      <c r="AX25" s="830" t="str">
        <f t="shared" si="106"/>
        <v>TJ26</v>
      </c>
      <c r="AY25" s="1039" t="b">
        <f t="shared" si="30"/>
        <v>0</v>
      </c>
      <c r="AZ25" s="856" t="b">
        <f t="shared" si="31"/>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2"/>
        <v/>
      </c>
      <c r="BR25" s="910"/>
      <c r="BS25" s="672"/>
      <c r="BT25" s="713"/>
      <c r="BU25" s="714"/>
      <c r="BV25" s="1625"/>
      <c r="BW25" s="713"/>
      <c r="BX25" s="714"/>
      <c r="BY25" s="715"/>
      <c r="BZ25" s="716"/>
      <c r="CA25" s="680" t="str">
        <f>IF(ISERROR(DE25),"",IF(DE25="","",IF(VLOOKUP(BS25,SectInfo!$B:$N,10,FALSE)="","","X")))</f>
        <v/>
      </c>
      <c r="CB25" s="738"/>
      <c r="CC25" s="1551" t="str">
        <f t="shared" si="33"/>
        <v/>
      </c>
      <c r="CD25" s="910"/>
      <c r="CE25" s="717"/>
      <c r="CF25" s="736"/>
      <c r="CG25" s="737"/>
      <c r="CH25" s="591" t="str">
        <f t="shared" si="34"/>
        <v/>
      </c>
      <c r="CI25" s="592" t="str">
        <f t="shared" si="35"/>
        <v/>
      </c>
      <c r="CJ25" s="593" t="str">
        <f t="shared" si="36"/>
        <v/>
      </c>
      <c r="CK25" s="594" t="str">
        <f t="shared" si="37"/>
        <v/>
      </c>
      <c r="CL25" s="595" t="str">
        <f t="shared" si="38"/>
        <v/>
      </c>
      <c r="CM25" s="596" t="str">
        <f t="shared" si="39"/>
        <v/>
      </c>
      <c r="CN25" s="597" t="str">
        <f t="shared" si="40"/>
        <v/>
      </c>
      <c r="CO25" s="598" t="str">
        <f t="shared" si="41"/>
        <v/>
      </c>
      <c r="CP25" s="615" t="str">
        <f t="shared" si="42"/>
        <v/>
      </c>
      <c r="CQ25" s="616" t="str">
        <f t="shared" si="43"/>
        <v/>
      </c>
      <c r="CR25" s="750">
        <f t="shared" si="44"/>
        <v>5</v>
      </c>
      <c r="CS25" s="751">
        <f t="shared" si="45"/>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6"/>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47"/>
        <v>0</v>
      </c>
      <c r="DO25" s="818">
        <f t="shared" si="48"/>
        <v>0</v>
      </c>
      <c r="DP25" s="822" t="str">
        <f t="shared" si="49"/>
        <v/>
      </c>
      <c r="DQ25" s="822" t="str">
        <f t="shared" si="50"/>
        <v/>
      </c>
      <c r="DR25" s="822" t="str">
        <f t="shared" si="51"/>
        <v/>
      </c>
      <c r="DS25" s="821">
        <f t="shared" si="52"/>
        <v>0</v>
      </c>
      <c r="DT25" s="821">
        <f t="shared" si="53"/>
        <v>0</v>
      </c>
      <c r="DU25" s="821" t="str">
        <f t="shared" si="54"/>
        <v/>
      </c>
      <c r="DV25" s="822" t="str">
        <f t="shared" si="55"/>
        <v/>
      </c>
      <c r="DW25" s="856" t="str">
        <f t="shared" si="56"/>
        <v/>
      </c>
      <c r="DX25" s="1006">
        <f t="shared" si="57"/>
        <v>0</v>
      </c>
      <c r="DY25" s="822">
        <f t="shared" si="58"/>
        <v>0</v>
      </c>
      <c r="DZ25" s="821">
        <f t="shared" si="59"/>
        <v>0</v>
      </c>
      <c r="EA25" s="821" t="str">
        <f t="shared" si="60"/>
        <v/>
      </c>
      <c r="EB25" s="822" t="str">
        <f t="shared" si="61"/>
        <v/>
      </c>
      <c r="EC25" s="856" t="str">
        <f t="shared" si="62"/>
        <v/>
      </c>
      <c r="ED25" s="1006">
        <f t="shared" si="63"/>
        <v>0</v>
      </c>
      <c r="EE25" s="1293" t="str">
        <f t="shared" si="64"/>
        <v/>
      </c>
      <c r="EF25" s="1293" t="str">
        <f t="shared" si="65"/>
        <v/>
      </c>
      <c r="EG25" s="1293" t="str">
        <f t="shared" si="66"/>
        <v/>
      </c>
      <c r="EH25" s="856" t="str">
        <f t="shared" si="67"/>
        <v>ERR</v>
      </c>
      <c r="EI25" s="856" t="str">
        <f t="shared" si="68"/>
        <v>ERR</v>
      </c>
      <c r="EJ25" s="822" t="str">
        <f t="shared" si="69"/>
        <v/>
      </c>
      <c r="EK25" s="822" t="str">
        <f t="shared" si="69"/>
        <v/>
      </c>
      <c r="EL25" s="1293" t="str">
        <f t="shared" si="70"/>
        <v/>
      </c>
      <c r="EM25" s="822" t="str">
        <f t="shared" si="71"/>
        <v/>
      </c>
      <c r="EN25" s="822" t="str">
        <f t="shared" si="72"/>
        <v/>
      </c>
      <c r="EO25" s="856" t="str">
        <f t="shared" si="73"/>
        <v>ERR</v>
      </c>
      <c r="EP25" s="856" t="str">
        <f t="shared" si="74"/>
        <v>ERR</v>
      </c>
      <c r="EQ25" s="1293" t="str">
        <f t="shared" si="75"/>
        <v/>
      </c>
      <c r="ER25" s="822" t="str">
        <f t="shared" si="75"/>
        <v/>
      </c>
      <c r="ES25" s="822" t="str">
        <f t="shared" si="76"/>
        <v/>
      </c>
      <c r="ET25" s="822" t="str">
        <f t="shared" si="77"/>
        <v/>
      </c>
      <c r="EU25" s="829">
        <f t="shared" si="78"/>
        <v>4</v>
      </c>
      <c r="EV25" s="824" t="str">
        <f t="shared" si="79"/>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0"/>
        <v/>
      </c>
      <c r="FA25" s="829" t="str">
        <f>IF(AND(DE25="G", ISBLANK(BW25), ISBLANK(BX25)),VLOOKUP(MIN(BT25:BU25),TblJoistSize!$M$3:$N$10,2),IF(OR(DE25="B", DE25="G"),MIN(BW25:BX25),""))</f>
        <v/>
      </c>
      <c r="FB25" s="829" t="str">
        <f>IF(AND(DE25="G", ISBLANK(BW25), ISBLANK(BX25)),VLOOKUP(MAX(BT25:BU25),TblJoistSize!$M$3:$N$10,2),IF(OR(DE25="B", DE25="G"),MAX(BW25:BX25),""))</f>
        <v/>
      </c>
      <c r="FC25" s="829" t="str">
        <f t="shared" si="81"/>
        <v/>
      </c>
      <c r="FD25" s="821">
        <f t="shared" si="107"/>
        <v>0</v>
      </c>
      <c r="FE25" s="821">
        <f t="shared" si="82"/>
        <v>0</v>
      </c>
      <c r="FF25" s="821">
        <f t="shared" si="83"/>
        <v>0</v>
      </c>
      <c r="FG25" s="821" t="str">
        <f t="shared" si="84"/>
        <v/>
      </c>
      <c r="FH25" s="822" t="str">
        <f t="shared" si="85"/>
        <v/>
      </c>
      <c r="FI25" s="821">
        <f t="shared" si="108"/>
        <v>0</v>
      </c>
      <c r="FJ25" s="821">
        <f t="shared" si="86"/>
        <v>0</v>
      </c>
      <c r="FK25" s="821">
        <f t="shared" si="87"/>
        <v>0</v>
      </c>
      <c r="FL25" s="821" t="str">
        <f t="shared" si="88"/>
        <v/>
      </c>
      <c r="FM25" s="822" t="str">
        <f t="shared" si="89"/>
        <v/>
      </c>
      <c r="FN25" s="822" t="e">
        <f t="shared" si="90"/>
        <v>#VALUE!</v>
      </c>
      <c r="FO25" s="940" t="e">
        <f t="shared" si="91"/>
        <v>#VALUE!</v>
      </c>
      <c r="FP25" s="940" t="e">
        <f t="shared" si="92"/>
        <v>#VALUE!</v>
      </c>
      <c r="FQ25" s="830" t="e">
        <f t="shared" si="93"/>
        <v>#VALUE!</v>
      </c>
      <c r="FR25" s="831" t="e">
        <f t="shared" si="94"/>
        <v>#VALUE!</v>
      </c>
      <c r="FS25" s="832" t="str">
        <f t="shared" si="95"/>
        <v/>
      </c>
      <c r="FT25" s="833" t="str">
        <f t="shared" si="96"/>
        <v/>
      </c>
      <c r="FU25" s="870">
        <f t="shared" si="97"/>
        <v>0</v>
      </c>
      <c r="FV25" s="871">
        <f t="shared" si="98"/>
        <v>0</v>
      </c>
      <c r="GA25" s="1791">
        <v>50</v>
      </c>
      <c r="GB25" s="1792">
        <v>0</v>
      </c>
      <c r="GC25" s="1793">
        <v>-0.25</v>
      </c>
      <c r="GD25" s="1794">
        <v>-0.25</v>
      </c>
      <c r="GE25" s="1795">
        <f t="shared" si="99"/>
        <v>0</v>
      </c>
      <c r="GF25" s="600" t="str">
        <f t="shared" si="100"/>
        <v>TJ26</v>
      </c>
      <c r="GG25" s="1130">
        <v>0</v>
      </c>
      <c r="GH25" s="1131">
        <v>0</v>
      </c>
      <c r="GI25" s="1130"/>
      <c r="GJ25" s="1131"/>
      <c r="GK25" s="1638">
        <f t="shared" si="101"/>
        <v>599.5</v>
      </c>
      <c r="GL25" s="1636">
        <f t="shared" si="102"/>
        <v>599.5</v>
      </c>
      <c r="GM25" s="1637">
        <f>IF(ABS(GK25-GL25)&gt;='Job Info.'!$L$22,ABS(GK25-GL25),0)</f>
        <v>0</v>
      </c>
      <c r="HA25" s="1269" t="s">
        <v>1456</v>
      </c>
      <c r="HB25" s="1270">
        <v>16</v>
      </c>
      <c r="HC25" s="1270" t="s">
        <v>1592</v>
      </c>
      <c r="HD25" s="1271">
        <v>49</v>
      </c>
      <c r="HE25" s="1272">
        <v>11.5</v>
      </c>
      <c r="HF25" s="1270" t="s">
        <v>116</v>
      </c>
      <c r="HG25" s="1270" t="s">
        <v>116</v>
      </c>
      <c r="HH25" s="1270" t="s">
        <v>116</v>
      </c>
      <c r="HI25" s="1273" t="s">
        <v>116</v>
      </c>
      <c r="HJ25" s="1270" t="s">
        <v>116</v>
      </c>
      <c r="HK25" s="1270" t="s">
        <v>116</v>
      </c>
      <c r="HL25" s="1270">
        <v>5</v>
      </c>
      <c r="HM25" s="1270">
        <v>5</v>
      </c>
      <c r="HN25" s="1270">
        <v>0</v>
      </c>
      <c r="HO25" s="1270">
        <v>6.75</v>
      </c>
      <c r="HP25" s="1270">
        <v>2</v>
      </c>
      <c r="HQ25" s="1273">
        <v>0</v>
      </c>
      <c r="HR25" s="1270">
        <v>6.75</v>
      </c>
      <c r="HS25" s="1270">
        <v>2</v>
      </c>
      <c r="HT25" s="1270">
        <v>0</v>
      </c>
      <c r="HU25" s="1270">
        <v>2.25</v>
      </c>
      <c r="HV25" s="1270">
        <v>0</v>
      </c>
      <c r="HW25" s="1272">
        <v>2.25</v>
      </c>
      <c r="HX25" s="1272">
        <v>4</v>
      </c>
      <c r="HY25" s="1272" t="s">
        <v>116</v>
      </c>
      <c r="HZ25" s="1272" t="s">
        <v>116</v>
      </c>
      <c r="IA25" s="1272" t="s">
        <v>1667</v>
      </c>
      <c r="IB25" s="1272"/>
      <c r="IC25" s="1272"/>
      <c r="ID25" s="1272"/>
      <c r="IE25" s="1272"/>
      <c r="IF25" s="1274"/>
    </row>
    <row r="26" spans="1:240" ht="12.6" customHeight="1" x14ac:dyDescent="0.25">
      <c r="A26" s="1448" t="s">
        <v>1457</v>
      </c>
      <c r="B26" s="1681">
        <v>3</v>
      </c>
      <c r="C26" s="1449" t="s">
        <v>1592</v>
      </c>
      <c r="D26" s="1705">
        <v>49</v>
      </c>
      <c r="E26" s="1706">
        <v>11.5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103"/>
        <v/>
      </c>
      <c r="O26" s="1709" t="str">
        <f t="shared" si="104"/>
        <v/>
      </c>
      <c r="P26" s="1710" t="str">
        <f t="shared" si="105"/>
        <v/>
      </c>
      <c r="Q26" s="1705" t="str">
        <f t="shared" si="7"/>
        <v/>
      </c>
      <c r="R26" s="1709" t="str">
        <f t="shared" si="8"/>
        <v/>
      </c>
      <c r="S26" s="1711" t="str">
        <f t="shared" si="9"/>
        <v/>
      </c>
      <c r="T26" s="1714">
        <v>0</v>
      </c>
      <c r="U26" s="1709">
        <v>2.25</v>
      </c>
      <c r="V26" s="1705">
        <v>0</v>
      </c>
      <c r="W26" s="1709">
        <v>2.25</v>
      </c>
      <c r="X26" s="1713">
        <v>4</v>
      </c>
      <c r="Y26" s="1781" t="str">
        <f t="shared" si="10"/>
        <v/>
      </c>
      <c r="Z26" s="1782" t="str">
        <f t="shared" si="11"/>
        <v/>
      </c>
      <c r="AA26" s="1783" t="s">
        <v>1731</v>
      </c>
      <c r="AB26" s="1413"/>
      <c r="AC26" s="964" t="b">
        <v>0</v>
      </c>
      <c r="AD26" s="441">
        <f t="shared" si="12"/>
        <v>0</v>
      </c>
      <c r="AE26" s="442">
        <f t="shared" si="13"/>
        <v>3</v>
      </c>
      <c r="AF26" s="442">
        <f t="shared" si="14"/>
        <v>0</v>
      </c>
      <c r="AG26" s="442">
        <f t="shared" si="15"/>
        <v>0</v>
      </c>
      <c r="AH26" s="443">
        <f t="shared" si="16"/>
        <v>0</v>
      </c>
      <c r="AI26" s="444" t="b">
        <v>0</v>
      </c>
      <c r="AJ26" s="238">
        <f t="shared" si="17"/>
        <v>32</v>
      </c>
      <c r="AK26" s="830" t="str">
        <f t="shared" si="18"/>
        <v>LH</v>
      </c>
      <c r="AL26" s="945" t="str">
        <f t="shared" si="19"/>
        <v/>
      </c>
      <c r="AM26" s="830">
        <f t="shared" si="20"/>
        <v>305</v>
      </c>
      <c r="AN26" s="830">
        <f t="shared" si="21"/>
        <v>180</v>
      </c>
      <c r="AO26" s="830" t="str">
        <f t="shared" si="22"/>
        <v/>
      </c>
      <c r="AP26" s="830" t="b">
        <f>IF(ISERROR(AJ26),FALSE,IF(OR(AJ26=0,ISERROR(AL26),ISERROR(AM26),ISERROR(AN26),ISERROR(AO26)),FALSE,IF(AL26&lt;&gt;"",IF(ISERROR(VLOOKUP(SUBSTITUTE(SUBSTITUTE(C26,"R",""),"A",""),TblJoistSize!$A:$A,1,FALSE)),FALSE,TRUE),TRUE)))</f>
        <v>1</v>
      </c>
      <c r="AQ26" s="1038">
        <f t="shared" si="23"/>
        <v>6</v>
      </c>
      <c r="AR26" s="945" t="b">
        <f t="shared" si="24"/>
        <v>1</v>
      </c>
      <c r="AS26" s="1038">
        <f t="shared" si="25"/>
        <v>6</v>
      </c>
      <c r="AT26" s="945" t="b">
        <f t="shared" si="26"/>
        <v>1</v>
      </c>
      <c r="AU26" s="946" t="str">
        <f t="shared" si="27"/>
        <v>LH</v>
      </c>
      <c r="AV26" s="830" t="str">
        <f t="shared" si="28"/>
        <v/>
      </c>
      <c r="AW26" s="830" t="str">
        <f t="shared" si="29"/>
        <v>LH</v>
      </c>
      <c r="AX26" s="830" t="str">
        <f t="shared" si="106"/>
        <v>J27</v>
      </c>
      <c r="AY26" s="1039" t="b">
        <f t="shared" si="30"/>
        <v>0</v>
      </c>
      <c r="AZ26" s="856" t="b">
        <f t="shared" si="31"/>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2"/>
        <v/>
      </c>
      <c r="BR26" s="910"/>
      <c r="BS26" s="672"/>
      <c r="BT26" s="713"/>
      <c r="BU26" s="714"/>
      <c r="BV26" s="1625"/>
      <c r="BW26" s="713"/>
      <c r="BX26" s="714"/>
      <c r="BY26" s="715"/>
      <c r="BZ26" s="716"/>
      <c r="CA26" s="680" t="str">
        <f>IF(ISERROR(DE26),"",IF(DE26="","",IF(VLOOKUP(BS26,SectInfo!$B:$N,10,FALSE)="","","X")))</f>
        <v/>
      </c>
      <c r="CB26" s="738"/>
      <c r="CC26" s="1551" t="str">
        <f t="shared" si="33"/>
        <v/>
      </c>
      <c r="CD26" s="910"/>
      <c r="CE26" s="717"/>
      <c r="CF26" s="736"/>
      <c r="CG26" s="737"/>
      <c r="CH26" s="591" t="str">
        <f t="shared" si="34"/>
        <v/>
      </c>
      <c r="CI26" s="592" t="str">
        <f t="shared" si="35"/>
        <v/>
      </c>
      <c r="CJ26" s="593" t="str">
        <f t="shared" si="36"/>
        <v/>
      </c>
      <c r="CK26" s="594" t="str">
        <f t="shared" si="37"/>
        <v/>
      </c>
      <c r="CL26" s="595" t="str">
        <f t="shared" si="38"/>
        <v/>
      </c>
      <c r="CM26" s="596" t="str">
        <f t="shared" si="39"/>
        <v/>
      </c>
      <c r="CN26" s="597" t="str">
        <f t="shared" si="40"/>
        <v/>
      </c>
      <c r="CO26" s="598" t="str">
        <f t="shared" si="41"/>
        <v/>
      </c>
      <c r="CP26" s="615" t="str">
        <f t="shared" si="42"/>
        <v/>
      </c>
      <c r="CQ26" s="616" t="str">
        <f t="shared" si="43"/>
        <v/>
      </c>
      <c r="CR26" s="750">
        <f t="shared" si="44"/>
        <v>5</v>
      </c>
      <c r="CS26" s="751">
        <f t="shared" si="45"/>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6"/>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47"/>
        <v>0</v>
      </c>
      <c r="DO26" s="818">
        <f t="shared" si="48"/>
        <v>0</v>
      </c>
      <c r="DP26" s="822" t="str">
        <f t="shared" si="49"/>
        <v/>
      </c>
      <c r="DQ26" s="822" t="str">
        <f t="shared" si="50"/>
        <v/>
      </c>
      <c r="DR26" s="822" t="str">
        <f t="shared" si="51"/>
        <v/>
      </c>
      <c r="DS26" s="821">
        <f t="shared" si="52"/>
        <v>0</v>
      </c>
      <c r="DT26" s="821">
        <f t="shared" si="53"/>
        <v>0</v>
      </c>
      <c r="DU26" s="821" t="str">
        <f t="shared" si="54"/>
        <v/>
      </c>
      <c r="DV26" s="822" t="str">
        <f t="shared" si="55"/>
        <v/>
      </c>
      <c r="DW26" s="856" t="str">
        <f t="shared" si="56"/>
        <v/>
      </c>
      <c r="DX26" s="1006">
        <f t="shared" si="57"/>
        <v>0</v>
      </c>
      <c r="DY26" s="822">
        <f t="shared" si="58"/>
        <v>0</v>
      </c>
      <c r="DZ26" s="821">
        <f t="shared" si="59"/>
        <v>0</v>
      </c>
      <c r="EA26" s="821" t="str">
        <f t="shared" si="60"/>
        <v/>
      </c>
      <c r="EB26" s="822" t="str">
        <f t="shared" si="61"/>
        <v/>
      </c>
      <c r="EC26" s="856" t="str">
        <f t="shared" si="62"/>
        <v/>
      </c>
      <c r="ED26" s="1006">
        <f t="shared" si="63"/>
        <v>0</v>
      </c>
      <c r="EE26" s="1293" t="str">
        <f t="shared" si="64"/>
        <v/>
      </c>
      <c r="EF26" s="1293" t="str">
        <f t="shared" si="65"/>
        <v/>
      </c>
      <c r="EG26" s="1293" t="str">
        <f t="shared" si="66"/>
        <v/>
      </c>
      <c r="EH26" s="856" t="str">
        <f t="shared" si="67"/>
        <v>ERR</v>
      </c>
      <c r="EI26" s="856" t="str">
        <f t="shared" si="68"/>
        <v>ERR</v>
      </c>
      <c r="EJ26" s="822" t="str">
        <f t="shared" si="69"/>
        <v/>
      </c>
      <c r="EK26" s="822" t="str">
        <f t="shared" si="69"/>
        <v/>
      </c>
      <c r="EL26" s="1293" t="str">
        <f t="shared" si="70"/>
        <v/>
      </c>
      <c r="EM26" s="822" t="str">
        <f t="shared" si="71"/>
        <v/>
      </c>
      <c r="EN26" s="822" t="str">
        <f t="shared" si="72"/>
        <v/>
      </c>
      <c r="EO26" s="856" t="str">
        <f t="shared" si="73"/>
        <v>ERR</v>
      </c>
      <c r="EP26" s="856" t="str">
        <f t="shared" si="74"/>
        <v>ERR</v>
      </c>
      <c r="EQ26" s="1293" t="str">
        <f t="shared" si="75"/>
        <v/>
      </c>
      <c r="ER26" s="822" t="str">
        <f t="shared" si="75"/>
        <v/>
      </c>
      <c r="ES26" s="822" t="str">
        <f t="shared" si="76"/>
        <v/>
      </c>
      <c r="ET26" s="822" t="str">
        <f t="shared" si="77"/>
        <v/>
      </c>
      <c r="EU26" s="829">
        <f t="shared" si="78"/>
        <v>4</v>
      </c>
      <c r="EV26" s="824" t="str">
        <f t="shared" si="79"/>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0"/>
        <v/>
      </c>
      <c r="FA26" s="829" t="str">
        <f>IF(AND(DE26="G", ISBLANK(BW26), ISBLANK(BX26)),VLOOKUP(MIN(BT26:BU26),TblJoistSize!$M$3:$N$10,2),IF(OR(DE26="B", DE26="G"),MIN(BW26:BX26),""))</f>
        <v/>
      </c>
      <c r="FB26" s="829" t="str">
        <f>IF(AND(DE26="G", ISBLANK(BW26), ISBLANK(BX26)),VLOOKUP(MAX(BT26:BU26),TblJoistSize!$M$3:$N$10,2),IF(OR(DE26="B", DE26="G"),MAX(BW26:BX26),""))</f>
        <v/>
      </c>
      <c r="FC26" s="829" t="str">
        <f t="shared" si="81"/>
        <v/>
      </c>
      <c r="FD26" s="821">
        <f t="shared" si="107"/>
        <v>0</v>
      </c>
      <c r="FE26" s="821">
        <f t="shared" si="82"/>
        <v>0</v>
      </c>
      <c r="FF26" s="821">
        <f t="shared" si="83"/>
        <v>0</v>
      </c>
      <c r="FG26" s="821" t="str">
        <f t="shared" si="84"/>
        <v/>
      </c>
      <c r="FH26" s="822" t="str">
        <f t="shared" si="85"/>
        <v/>
      </c>
      <c r="FI26" s="821">
        <f t="shared" si="108"/>
        <v>0</v>
      </c>
      <c r="FJ26" s="821">
        <f t="shared" si="86"/>
        <v>0</v>
      </c>
      <c r="FK26" s="821">
        <f t="shared" si="87"/>
        <v>0</v>
      </c>
      <c r="FL26" s="821" t="str">
        <f t="shared" si="88"/>
        <v/>
      </c>
      <c r="FM26" s="822" t="str">
        <f t="shared" si="89"/>
        <v/>
      </c>
      <c r="FN26" s="822" t="e">
        <f t="shared" si="90"/>
        <v>#VALUE!</v>
      </c>
      <c r="FO26" s="940" t="e">
        <f t="shared" si="91"/>
        <v>#VALUE!</v>
      </c>
      <c r="FP26" s="940" t="e">
        <f t="shared" si="92"/>
        <v>#VALUE!</v>
      </c>
      <c r="FQ26" s="830" t="e">
        <f t="shared" si="93"/>
        <v>#VALUE!</v>
      </c>
      <c r="FR26" s="831" t="e">
        <f t="shared" si="94"/>
        <v>#VALUE!</v>
      </c>
      <c r="FS26" s="832" t="str">
        <f t="shared" si="95"/>
        <v/>
      </c>
      <c r="FT26" s="833" t="str">
        <f t="shared" si="96"/>
        <v/>
      </c>
      <c r="FU26" s="870">
        <f t="shared" si="97"/>
        <v>0</v>
      </c>
      <c r="FV26" s="871">
        <f t="shared" si="98"/>
        <v>0</v>
      </c>
      <c r="GA26" s="1791">
        <v>50</v>
      </c>
      <c r="GB26" s="1792">
        <v>0</v>
      </c>
      <c r="GC26" s="1793">
        <v>-0.25</v>
      </c>
      <c r="GD26" s="1794">
        <v>-0.25</v>
      </c>
      <c r="GE26" s="1795">
        <f t="shared" si="99"/>
        <v>0</v>
      </c>
      <c r="GF26" s="600" t="str">
        <f t="shared" si="100"/>
        <v>J27</v>
      </c>
      <c r="GG26" s="1130">
        <v>0</v>
      </c>
      <c r="GH26" s="1131">
        <v>0</v>
      </c>
      <c r="GI26" s="1130"/>
      <c r="GJ26" s="1131"/>
      <c r="GK26" s="1638">
        <f t="shared" si="101"/>
        <v>599.5</v>
      </c>
      <c r="GL26" s="1636">
        <f t="shared" si="102"/>
        <v>599.5</v>
      </c>
      <c r="GM26" s="1637">
        <f>IF(ABS(GK26-GL26)&gt;='Job Info.'!$L$22,ABS(GK26-GL26),0)</f>
        <v>0</v>
      </c>
      <c r="HA26" s="1269" t="s">
        <v>1457</v>
      </c>
      <c r="HB26" s="1270">
        <v>3</v>
      </c>
      <c r="HC26" s="1270" t="s">
        <v>1592</v>
      </c>
      <c r="HD26" s="1271">
        <v>49</v>
      </c>
      <c r="HE26" s="1272">
        <v>11.5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2.25</v>
      </c>
      <c r="HX26" s="1272">
        <v>4</v>
      </c>
      <c r="HY26" s="1272" t="s">
        <v>116</v>
      </c>
      <c r="HZ26" s="1272" t="s">
        <v>116</v>
      </c>
      <c r="IA26" s="1272" t="s">
        <v>1668</v>
      </c>
      <c r="IB26" s="1272"/>
      <c r="IC26" s="1272"/>
      <c r="ID26" s="1272"/>
      <c r="IE26" s="1272"/>
      <c r="IF26" s="1274"/>
    </row>
    <row r="27" spans="1:240" ht="12.6" customHeight="1" x14ac:dyDescent="0.25">
      <c r="A27" s="1448" t="s">
        <v>1458</v>
      </c>
      <c r="B27" s="1681">
        <v>2</v>
      </c>
      <c r="C27" s="1449" t="s">
        <v>1592</v>
      </c>
      <c r="D27" s="1705">
        <v>49</v>
      </c>
      <c r="E27" s="1706">
        <v>11.5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103"/>
        <v/>
      </c>
      <c r="O27" s="1709" t="str">
        <f t="shared" si="104"/>
        <v/>
      </c>
      <c r="P27" s="1710" t="str">
        <f t="shared" si="105"/>
        <v/>
      </c>
      <c r="Q27" s="1705" t="str">
        <f t="shared" si="7"/>
        <v/>
      </c>
      <c r="R27" s="1709" t="str">
        <f t="shared" si="8"/>
        <v/>
      </c>
      <c r="S27" s="1711" t="str">
        <f t="shared" si="9"/>
        <v/>
      </c>
      <c r="T27" s="1714">
        <v>0</v>
      </c>
      <c r="U27" s="1709">
        <v>2.25</v>
      </c>
      <c r="V27" s="1705">
        <v>0</v>
      </c>
      <c r="W27" s="1709">
        <v>2.25</v>
      </c>
      <c r="X27" s="1713">
        <v>4</v>
      </c>
      <c r="Y27" s="1781" t="str">
        <f t="shared" si="10"/>
        <v/>
      </c>
      <c r="Z27" s="1782" t="str">
        <f t="shared" si="11"/>
        <v/>
      </c>
      <c r="AA27" s="1783" t="s">
        <v>1732</v>
      </c>
      <c r="AB27" s="1413"/>
      <c r="AC27" s="964" t="b">
        <v>0</v>
      </c>
      <c r="AD27" s="441">
        <f t="shared" si="12"/>
        <v>0</v>
      </c>
      <c r="AE27" s="442">
        <f t="shared" si="13"/>
        <v>2</v>
      </c>
      <c r="AF27" s="442">
        <f t="shared" si="14"/>
        <v>0</v>
      </c>
      <c r="AG27" s="442">
        <f t="shared" si="15"/>
        <v>0</v>
      </c>
      <c r="AH27" s="443">
        <f t="shared" si="16"/>
        <v>0</v>
      </c>
      <c r="AI27" s="444" t="b">
        <v>0</v>
      </c>
      <c r="AJ27" s="238">
        <f t="shared" si="17"/>
        <v>32</v>
      </c>
      <c r="AK27" s="830" t="str">
        <f t="shared" si="18"/>
        <v>LH</v>
      </c>
      <c r="AL27" s="945" t="str">
        <f t="shared" si="19"/>
        <v/>
      </c>
      <c r="AM27" s="830">
        <f t="shared" si="20"/>
        <v>305</v>
      </c>
      <c r="AN27" s="830">
        <f t="shared" si="21"/>
        <v>180</v>
      </c>
      <c r="AO27" s="830" t="str">
        <f t="shared" si="22"/>
        <v/>
      </c>
      <c r="AP27" s="830" t="b">
        <f>IF(ISERROR(AJ27),FALSE,IF(OR(AJ27=0,ISERROR(AL27),ISERROR(AM27),ISERROR(AN27),ISERROR(AO27)),FALSE,IF(AL27&lt;&gt;"",IF(ISERROR(VLOOKUP(SUBSTITUTE(SUBSTITUTE(C27,"R",""),"A",""),TblJoistSize!$A:$A,1,FALSE)),FALSE,TRUE),TRUE)))</f>
        <v>1</v>
      </c>
      <c r="AQ27" s="1038">
        <f t="shared" si="23"/>
        <v>6</v>
      </c>
      <c r="AR27" s="945" t="b">
        <f t="shared" si="24"/>
        <v>1</v>
      </c>
      <c r="AS27" s="1038">
        <f t="shared" si="25"/>
        <v>6</v>
      </c>
      <c r="AT27" s="945" t="b">
        <f t="shared" si="26"/>
        <v>1</v>
      </c>
      <c r="AU27" s="946" t="str">
        <f t="shared" si="27"/>
        <v>LH</v>
      </c>
      <c r="AV27" s="830" t="str">
        <f t="shared" si="28"/>
        <v/>
      </c>
      <c r="AW27" s="830" t="str">
        <f t="shared" si="29"/>
        <v>LH</v>
      </c>
      <c r="AX27" s="830" t="str">
        <f t="shared" si="106"/>
        <v>J28</v>
      </c>
      <c r="AY27" s="1039" t="b">
        <f t="shared" si="30"/>
        <v>0</v>
      </c>
      <c r="AZ27" s="856" t="b">
        <f t="shared" si="31"/>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2"/>
        <v/>
      </c>
      <c r="BR27" s="910"/>
      <c r="BS27" s="672"/>
      <c r="BT27" s="713"/>
      <c r="BU27" s="714"/>
      <c r="BV27" s="1625"/>
      <c r="BW27" s="713"/>
      <c r="BX27" s="714"/>
      <c r="BY27" s="715"/>
      <c r="BZ27" s="716"/>
      <c r="CA27" s="680" t="str">
        <f>IF(ISERROR(DE27),"",IF(DE27="","",IF(VLOOKUP(BS27,SectInfo!$B:$N,10,FALSE)="","","X")))</f>
        <v/>
      </c>
      <c r="CB27" s="738"/>
      <c r="CC27" s="1551" t="str">
        <f t="shared" si="33"/>
        <v/>
      </c>
      <c r="CD27" s="910"/>
      <c r="CE27" s="717"/>
      <c r="CF27" s="736"/>
      <c r="CG27" s="737"/>
      <c r="CH27" s="591" t="str">
        <f t="shared" si="34"/>
        <v/>
      </c>
      <c r="CI27" s="592" t="str">
        <f t="shared" si="35"/>
        <v/>
      </c>
      <c r="CJ27" s="593" t="str">
        <f t="shared" si="36"/>
        <v/>
      </c>
      <c r="CK27" s="594" t="str">
        <f t="shared" si="37"/>
        <v/>
      </c>
      <c r="CL27" s="595" t="str">
        <f t="shared" si="38"/>
        <v/>
      </c>
      <c r="CM27" s="596" t="str">
        <f t="shared" si="39"/>
        <v/>
      </c>
      <c r="CN27" s="597" t="str">
        <f t="shared" si="40"/>
        <v/>
      </c>
      <c r="CO27" s="598" t="str">
        <f t="shared" si="41"/>
        <v/>
      </c>
      <c r="CP27" s="615" t="str">
        <f t="shared" si="42"/>
        <v/>
      </c>
      <c r="CQ27" s="616" t="str">
        <f t="shared" si="43"/>
        <v/>
      </c>
      <c r="CR27" s="750">
        <f t="shared" si="44"/>
        <v>5</v>
      </c>
      <c r="CS27" s="751">
        <f t="shared" si="45"/>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6"/>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47"/>
        <v>0</v>
      </c>
      <c r="DO27" s="818">
        <f t="shared" si="48"/>
        <v>0</v>
      </c>
      <c r="DP27" s="822" t="str">
        <f t="shared" si="49"/>
        <v/>
      </c>
      <c r="DQ27" s="822" t="str">
        <f t="shared" si="50"/>
        <v/>
      </c>
      <c r="DR27" s="822" t="str">
        <f t="shared" si="51"/>
        <v/>
      </c>
      <c r="DS27" s="821">
        <f t="shared" si="52"/>
        <v>0</v>
      </c>
      <c r="DT27" s="821">
        <f t="shared" si="53"/>
        <v>0</v>
      </c>
      <c r="DU27" s="821" t="str">
        <f t="shared" si="54"/>
        <v/>
      </c>
      <c r="DV27" s="822" t="str">
        <f t="shared" si="55"/>
        <v/>
      </c>
      <c r="DW27" s="856" t="str">
        <f t="shared" si="56"/>
        <v/>
      </c>
      <c r="DX27" s="1006">
        <f t="shared" si="57"/>
        <v>0</v>
      </c>
      <c r="DY27" s="822">
        <f t="shared" si="58"/>
        <v>0</v>
      </c>
      <c r="DZ27" s="821">
        <f t="shared" si="59"/>
        <v>0</v>
      </c>
      <c r="EA27" s="821" t="str">
        <f t="shared" si="60"/>
        <v/>
      </c>
      <c r="EB27" s="822" t="str">
        <f t="shared" si="61"/>
        <v/>
      </c>
      <c r="EC27" s="856" t="str">
        <f t="shared" si="62"/>
        <v/>
      </c>
      <c r="ED27" s="1006">
        <f t="shared" si="63"/>
        <v>0</v>
      </c>
      <c r="EE27" s="1293" t="str">
        <f t="shared" si="64"/>
        <v/>
      </c>
      <c r="EF27" s="1293" t="str">
        <f t="shared" si="65"/>
        <v/>
      </c>
      <c r="EG27" s="1293" t="str">
        <f t="shared" si="66"/>
        <v/>
      </c>
      <c r="EH27" s="856" t="str">
        <f t="shared" si="67"/>
        <v>ERR</v>
      </c>
      <c r="EI27" s="856" t="str">
        <f t="shared" si="68"/>
        <v>ERR</v>
      </c>
      <c r="EJ27" s="822" t="str">
        <f t="shared" si="69"/>
        <v/>
      </c>
      <c r="EK27" s="822" t="str">
        <f t="shared" si="69"/>
        <v/>
      </c>
      <c r="EL27" s="1293" t="str">
        <f t="shared" si="70"/>
        <v/>
      </c>
      <c r="EM27" s="822" t="str">
        <f t="shared" si="71"/>
        <v/>
      </c>
      <c r="EN27" s="822" t="str">
        <f t="shared" si="72"/>
        <v/>
      </c>
      <c r="EO27" s="856" t="str">
        <f t="shared" si="73"/>
        <v>ERR</v>
      </c>
      <c r="EP27" s="856" t="str">
        <f t="shared" si="74"/>
        <v>ERR</v>
      </c>
      <c r="EQ27" s="1293" t="str">
        <f t="shared" si="75"/>
        <v/>
      </c>
      <c r="ER27" s="822" t="str">
        <f t="shared" si="75"/>
        <v/>
      </c>
      <c r="ES27" s="822" t="str">
        <f t="shared" si="76"/>
        <v/>
      </c>
      <c r="ET27" s="822" t="str">
        <f t="shared" si="77"/>
        <v/>
      </c>
      <c r="EU27" s="829">
        <f t="shared" si="78"/>
        <v>4</v>
      </c>
      <c r="EV27" s="824" t="str">
        <f t="shared" si="79"/>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0"/>
        <v/>
      </c>
      <c r="FA27" s="829" t="str">
        <f>IF(AND(DE27="G", ISBLANK(BW27), ISBLANK(BX27)),VLOOKUP(MIN(BT27:BU27),TblJoistSize!$M$3:$N$10,2),IF(OR(DE27="B", DE27="G"),MIN(BW27:BX27),""))</f>
        <v/>
      </c>
      <c r="FB27" s="829" t="str">
        <f>IF(AND(DE27="G", ISBLANK(BW27), ISBLANK(BX27)),VLOOKUP(MAX(BT27:BU27),TblJoistSize!$M$3:$N$10,2),IF(OR(DE27="B", DE27="G"),MAX(BW27:BX27),""))</f>
        <v/>
      </c>
      <c r="FC27" s="829" t="str">
        <f t="shared" si="81"/>
        <v/>
      </c>
      <c r="FD27" s="821">
        <f t="shared" si="107"/>
        <v>0</v>
      </c>
      <c r="FE27" s="821">
        <f t="shared" si="82"/>
        <v>0</v>
      </c>
      <c r="FF27" s="821">
        <f t="shared" si="83"/>
        <v>0</v>
      </c>
      <c r="FG27" s="821" t="str">
        <f t="shared" si="84"/>
        <v/>
      </c>
      <c r="FH27" s="822" t="str">
        <f t="shared" si="85"/>
        <v/>
      </c>
      <c r="FI27" s="821">
        <f t="shared" si="108"/>
        <v>0</v>
      </c>
      <c r="FJ27" s="821">
        <f t="shared" si="86"/>
        <v>0</v>
      </c>
      <c r="FK27" s="821">
        <f t="shared" si="87"/>
        <v>0</v>
      </c>
      <c r="FL27" s="821" t="str">
        <f t="shared" si="88"/>
        <v/>
      </c>
      <c r="FM27" s="822" t="str">
        <f t="shared" si="89"/>
        <v/>
      </c>
      <c r="FN27" s="822" t="e">
        <f t="shared" si="90"/>
        <v>#VALUE!</v>
      </c>
      <c r="FO27" s="940" t="e">
        <f t="shared" si="91"/>
        <v>#VALUE!</v>
      </c>
      <c r="FP27" s="940" t="e">
        <f t="shared" si="92"/>
        <v>#VALUE!</v>
      </c>
      <c r="FQ27" s="830" t="e">
        <f t="shared" si="93"/>
        <v>#VALUE!</v>
      </c>
      <c r="FR27" s="831" t="e">
        <f t="shared" si="94"/>
        <v>#VALUE!</v>
      </c>
      <c r="FS27" s="832" t="str">
        <f t="shared" si="95"/>
        <v/>
      </c>
      <c r="FT27" s="833" t="str">
        <f t="shared" si="96"/>
        <v/>
      </c>
      <c r="FU27" s="870">
        <f t="shared" si="97"/>
        <v>0</v>
      </c>
      <c r="FV27" s="871">
        <f t="shared" si="98"/>
        <v>0</v>
      </c>
      <c r="GA27" s="1791">
        <v>50</v>
      </c>
      <c r="GB27" s="1792">
        <v>0</v>
      </c>
      <c r="GC27" s="1793">
        <v>-0.25</v>
      </c>
      <c r="GD27" s="1794">
        <v>-0.25</v>
      </c>
      <c r="GE27" s="1795">
        <f t="shared" si="99"/>
        <v>0</v>
      </c>
      <c r="GF27" s="600" t="str">
        <f t="shared" si="100"/>
        <v>J28</v>
      </c>
      <c r="GG27" s="1130">
        <v>0</v>
      </c>
      <c r="GH27" s="1131">
        <v>0</v>
      </c>
      <c r="GI27" s="1130"/>
      <c r="GJ27" s="1131"/>
      <c r="GK27" s="1638">
        <f t="shared" si="101"/>
        <v>599.5</v>
      </c>
      <c r="GL27" s="1636">
        <f t="shared" si="102"/>
        <v>599.5</v>
      </c>
      <c r="GM27" s="1637">
        <f>IF(ABS(GK27-GL27)&gt;='Job Info.'!$L$22,ABS(GK27-GL27),0)</f>
        <v>0</v>
      </c>
      <c r="HA27" s="1269" t="s">
        <v>1458</v>
      </c>
      <c r="HB27" s="1270">
        <v>2</v>
      </c>
      <c r="HC27" s="1270" t="s">
        <v>1592</v>
      </c>
      <c r="HD27" s="1271">
        <v>49</v>
      </c>
      <c r="HE27" s="1272">
        <v>11.5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2.25</v>
      </c>
      <c r="HX27" s="1272">
        <v>4</v>
      </c>
      <c r="HY27" s="1272" t="s">
        <v>116</v>
      </c>
      <c r="HZ27" s="1272" t="s">
        <v>116</v>
      </c>
      <c r="IA27" s="1272" t="s">
        <v>1669</v>
      </c>
      <c r="IB27" s="1272"/>
      <c r="IC27" s="1272"/>
      <c r="ID27" s="1272"/>
      <c r="IE27" s="1272"/>
      <c r="IF27" s="1274"/>
    </row>
    <row r="28" spans="1:240" ht="12.6" customHeight="1" x14ac:dyDescent="0.25">
      <c r="A28" s="1448" t="s">
        <v>1459</v>
      </c>
      <c r="B28" s="1681">
        <v>6</v>
      </c>
      <c r="C28" s="1449" t="s">
        <v>1592</v>
      </c>
      <c r="D28" s="1705">
        <v>49</v>
      </c>
      <c r="E28" s="1706">
        <v>11.5</v>
      </c>
      <c r="F28" s="1714" t="str">
        <f t="shared" si="1"/>
        <v/>
      </c>
      <c r="G28" s="1709" t="str">
        <f t="shared" si="2"/>
        <v/>
      </c>
      <c r="H28" s="1779" t="str">
        <f t="shared" si="3"/>
        <v/>
      </c>
      <c r="I28" s="1705" t="str">
        <f t="shared" si="4"/>
        <v/>
      </c>
      <c r="J28" s="1709" t="str">
        <f t="shared" si="5"/>
        <v/>
      </c>
      <c r="K28" s="1796" t="str">
        <f t="shared" si="6"/>
        <v/>
      </c>
      <c r="L28" s="1712">
        <v>5</v>
      </c>
      <c r="M28" s="1713">
        <v>5</v>
      </c>
      <c r="N28" s="1708" t="str">
        <f t="shared" si="103"/>
        <v/>
      </c>
      <c r="O28" s="1709" t="str">
        <f t="shared" si="104"/>
        <v/>
      </c>
      <c r="P28" s="1710" t="str">
        <f t="shared" si="105"/>
        <v/>
      </c>
      <c r="Q28" s="1705" t="str">
        <f t="shared" si="7"/>
        <v/>
      </c>
      <c r="R28" s="1709" t="str">
        <f t="shared" si="8"/>
        <v/>
      </c>
      <c r="S28" s="1711" t="str">
        <f t="shared" si="9"/>
        <v/>
      </c>
      <c r="T28" s="1714">
        <v>0</v>
      </c>
      <c r="U28" s="1709">
        <v>2.25</v>
      </c>
      <c r="V28" s="1705">
        <v>0</v>
      </c>
      <c r="W28" s="1709">
        <v>2.25</v>
      </c>
      <c r="X28" s="1713">
        <v>4</v>
      </c>
      <c r="Y28" s="1781" t="str">
        <f t="shared" si="10"/>
        <v/>
      </c>
      <c r="Z28" s="1782" t="str">
        <f t="shared" si="11"/>
        <v/>
      </c>
      <c r="AA28" s="1783" t="s">
        <v>1733</v>
      </c>
      <c r="AB28" s="1413"/>
      <c r="AC28" s="964" t="b">
        <v>0</v>
      </c>
      <c r="AD28" s="441">
        <f t="shared" si="12"/>
        <v>0</v>
      </c>
      <c r="AE28" s="442">
        <f t="shared" si="13"/>
        <v>6</v>
      </c>
      <c r="AF28" s="442">
        <f t="shared" si="14"/>
        <v>0</v>
      </c>
      <c r="AG28" s="442">
        <f t="shared" si="15"/>
        <v>0</v>
      </c>
      <c r="AH28" s="443">
        <f t="shared" si="16"/>
        <v>0</v>
      </c>
      <c r="AI28" s="444" t="b">
        <v>0</v>
      </c>
      <c r="AJ28" s="238">
        <f t="shared" si="17"/>
        <v>32</v>
      </c>
      <c r="AK28" s="830" t="str">
        <f t="shared" si="18"/>
        <v>LH</v>
      </c>
      <c r="AL28" s="945" t="str">
        <f t="shared" si="19"/>
        <v/>
      </c>
      <c r="AM28" s="830">
        <f t="shared" si="20"/>
        <v>305</v>
      </c>
      <c r="AN28" s="830">
        <f t="shared" si="21"/>
        <v>180</v>
      </c>
      <c r="AO28" s="830" t="str">
        <f t="shared" si="22"/>
        <v/>
      </c>
      <c r="AP28" s="830" t="b">
        <f>IF(ISERROR(AJ28),FALSE,IF(OR(AJ28=0,ISERROR(AL28),ISERROR(AM28),ISERROR(AN28),ISERROR(AO28)),FALSE,IF(AL28&lt;&gt;"",IF(ISERROR(VLOOKUP(SUBSTITUTE(SUBSTITUTE(C28,"R",""),"A",""),TblJoistSize!$A:$A,1,FALSE)),FALSE,TRUE),TRUE)))</f>
        <v>1</v>
      </c>
      <c r="AQ28" s="1038">
        <f t="shared" si="23"/>
        <v>6</v>
      </c>
      <c r="AR28" s="945" t="b">
        <f t="shared" si="24"/>
        <v>1</v>
      </c>
      <c r="AS28" s="1038">
        <f t="shared" si="25"/>
        <v>6</v>
      </c>
      <c r="AT28" s="945" t="b">
        <f t="shared" si="26"/>
        <v>1</v>
      </c>
      <c r="AU28" s="946" t="str">
        <f t="shared" si="27"/>
        <v>LH</v>
      </c>
      <c r="AV28" s="830" t="str">
        <f t="shared" si="28"/>
        <v/>
      </c>
      <c r="AW28" s="830" t="str">
        <f t="shared" si="29"/>
        <v>LH</v>
      </c>
      <c r="AX28" s="830" t="str">
        <f t="shared" si="106"/>
        <v>J29</v>
      </c>
      <c r="AY28" s="1039" t="b">
        <f t="shared" si="30"/>
        <v>0</v>
      </c>
      <c r="AZ28" s="856" t="b">
        <f t="shared" si="31"/>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2"/>
        <v/>
      </c>
      <c r="BR28" s="910"/>
      <c r="BS28" s="672"/>
      <c r="BT28" s="713"/>
      <c r="BU28" s="714"/>
      <c r="BV28" s="1625"/>
      <c r="BW28" s="713"/>
      <c r="BX28" s="714"/>
      <c r="BY28" s="715"/>
      <c r="BZ28" s="716"/>
      <c r="CA28" s="680" t="str">
        <f>IF(ISERROR(DE28),"",IF(DE28="","",IF(VLOOKUP(BS28,SectInfo!$B:$N,10,FALSE)="","","X")))</f>
        <v/>
      </c>
      <c r="CB28" s="738"/>
      <c r="CC28" s="1551" t="str">
        <f t="shared" si="33"/>
        <v/>
      </c>
      <c r="CD28" s="910"/>
      <c r="CE28" s="717"/>
      <c r="CF28" s="736"/>
      <c r="CG28" s="737"/>
      <c r="CH28" s="591" t="str">
        <f t="shared" si="34"/>
        <v/>
      </c>
      <c r="CI28" s="592" t="str">
        <f t="shared" si="35"/>
        <v/>
      </c>
      <c r="CJ28" s="593" t="str">
        <f t="shared" si="36"/>
        <v/>
      </c>
      <c r="CK28" s="594" t="str">
        <f t="shared" si="37"/>
        <v/>
      </c>
      <c r="CL28" s="595" t="str">
        <f t="shared" si="38"/>
        <v/>
      </c>
      <c r="CM28" s="596" t="str">
        <f t="shared" si="39"/>
        <v/>
      </c>
      <c r="CN28" s="597" t="str">
        <f t="shared" si="40"/>
        <v/>
      </c>
      <c r="CO28" s="598" t="str">
        <f t="shared" si="41"/>
        <v/>
      </c>
      <c r="CP28" s="615" t="str">
        <f t="shared" si="42"/>
        <v/>
      </c>
      <c r="CQ28" s="616" t="str">
        <f t="shared" si="43"/>
        <v/>
      </c>
      <c r="CR28" s="750">
        <f t="shared" si="44"/>
        <v>5</v>
      </c>
      <c r="CS28" s="751">
        <f t="shared" si="45"/>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6"/>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47"/>
        <v>0</v>
      </c>
      <c r="DO28" s="818">
        <f t="shared" si="48"/>
        <v>0</v>
      </c>
      <c r="DP28" s="822" t="str">
        <f t="shared" si="49"/>
        <v/>
      </c>
      <c r="DQ28" s="822" t="str">
        <f t="shared" si="50"/>
        <v/>
      </c>
      <c r="DR28" s="822" t="str">
        <f t="shared" si="51"/>
        <v/>
      </c>
      <c r="DS28" s="821">
        <f t="shared" si="52"/>
        <v>0</v>
      </c>
      <c r="DT28" s="821">
        <f t="shared" si="53"/>
        <v>0</v>
      </c>
      <c r="DU28" s="821" t="str">
        <f t="shared" si="54"/>
        <v/>
      </c>
      <c r="DV28" s="822" t="str">
        <f t="shared" si="55"/>
        <v/>
      </c>
      <c r="DW28" s="856" t="str">
        <f t="shared" si="56"/>
        <v/>
      </c>
      <c r="DX28" s="1006">
        <f t="shared" si="57"/>
        <v>0</v>
      </c>
      <c r="DY28" s="822">
        <f t="shared" si="58"/>
        <v>0</v>
      </c>
      <c r="DZ28" s="821">
        <f t="shared" si="59"/>
        <v>0</v>
      </c>
      <c r="EA28" s="821" t="str">
        <f t="shared" si="60"/>
        <v/>
      </c>
      <c r="EB28" s="822" t="str">
        <f t="shared" si="61"/>
        <v/>
      </c>
      <c r="EC28" s="856" t="str">
        <f t="shared" si="62"/>
        <v/>
      </c>
      <c r="ED28" s="1006">
        <f t="shared" si="63"/>
        <v>0</v>
      </c>
      <c r="EE28" s="1293" t="str">
        <f t="shared" si="64"/>
        <v/>
      </c>
      <c r="EF28" s="1293" t="str">
        <f t="shared" si="65"/>
        <v/>
      </c>
      <c r="EG28" s="1293" t="str">
        <f t="shared" si="66"/>
        <v/>
      </c>
      <c r="EH28" s="856" t="str">
        <f t="shared" si="67"/>
        <v>ERR</v>
      </c>
      <c r="EI28" s="856" t="str">
        <f t="shared" si="68"/>
        <v>ERR</v>
      </c>
      <c r="EJ28" s="822" t="str">
        <f t="shared" si="69"/>
        <v/>
      </c>
      <c r="EK28" s="822" t="str">
        <f t="shared" si="69"/>
        <v/>
      </c>
      <c r="EL28" s="1293" t="str">
        <f t="shared" si="70"/>
        <v/>
      </c>
      <c r="EM28" s="822" t="str">
        <f t="shared" si="71"/>
        <v/>
      </c>
      <c r="EN28" s="822" t="str">
        <f t="shared" si="72"/>
        <v/>
      </c>
      <c r="EO28" s="856" t="str">
        <f t="shared" si="73"/>
        <v>ERR</v>
      </c>
      <c r="EP28" s="856" t="str">
        <f t="shared" si="74"/>
        <v>ERR</v>
      </c>
      <c r="EQ28" s="1293" t="str">
        <f t="shared" si="75"/>
        <v/>
      </c>
      <c r="ER28" s="822" t="str">
        <f t="shared" si="75"/>
        <v/>
      </c>
      <c r="ES28" s="822" t="str">
        <f t="shared" si="76"/>
        <v/>
      </c>
      <c r="ET28" s="822" t="str">
        <f t="shared" si="77"/>
        <v/>
      </c>
      <c r="EU28" s="829">
        <f t="shared" si="78"/>
        <v>4</v>
      </c>
      <c r="EV28" s="824" t="str">
        <f t="shared" si="79"/>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0"/>
        <v/>
      </c>
      <c r="FA28" s="829" t="str">
        <f>IF(AND(DE28="G", ISBLANK(BW28), ISBLANK(BX28)),VLOOKUP(MIN(BT28:BU28),TblJoistSize!$M$3:$N$10,2),IF(OR(DE28="B", DE28="G"),MIN(BW28:BX28),""))</f>
        <v/>
      </c>
      <c r="FB28" s="829" t="str">
        <f>IF(AND(DE28="G", ISBLANK(BW28), ISBLANK(BX28)),VLOOKUP(MAX(BT28:BU28),TblJoistSize!$M$3:$N$10,2),IF(OR(DE28="B", DE28="G"),MAX(BW28:BX28),""))</f>
        <v/>
      </c>
      <c r="FC28" s="829" t="str">
        <f t="shared" si="81"/>
        <v/>
      </c>
      <c r="FD28" s="821">
        <f t="shared" si="107"/>
        <v>0</v>
      </c>
      <c r="FE28" s="821">
        <f t="shared" si="82"/>
        <v>0</v>
      </c>
      <c r="FF28" s="821">
        <f t="shared" si="83"/>
        <v>0</v>
      </c>
      <c r="FG28" s="821" t="str">
        <f t="shared" si="84"/>
        <v/>
      </c>
      <c r="FH28" s="822" t="str">
        <f t="shared" si="85"/>
        <v/>
      </c>
      <c r="FI28" s="821">
        <f t="shared" si="108"/>
        <v>0</v>
      </c>
      <c r="FJ28" s="821">
        <f t="shared" si="86"/>
        <v>0</v>
      </c>
      <c r="FK28" s="821">
        <f t="shared" si="87"/>
        <v>0</v>
      </c>
      <c r="FL28" s="821" t="str">
        <f t="shared" si="88"/>
        <v/>
      </c>
      <c r="FM28" s="822" t="str">
        <f t="shared" si="89"/>
        <v/>
      </c>
      <c r="FN28" s="822" t="e">
        <f t="shared" si="90"/>
        <v>#VALUE!</v>
      </c>
      <c r="FO28" s="940" t="e">
        <f t="shared" si="91"/>
        <v>#VALUE!</v>
      </c>
      <c r="FP28" s="940" t="e">
        <f t="shared" si="92"/>
        <v>#VALUE!</v>
      </c>
      <c r="FQ28" s="830" t="e">
        <f t="shared" si="93"/>
        <v>#VALUE!</v>
      </c>
      <c r="FR28" s="831" t="e">
        <f t="shared" si="94"/>
        <v>#VALUE!</v>
      </c>
      <c r="FS28" s="832" t="str">
        <f t="shared" si="95"/>
        <v/>
      </c>
      <c r="FT28" s="833" t="str">
        <f t="shared" si="96"/>
        <v/>
      </c>
      <c r="FU28" s="870">
        <f t="shared" si="97"/>
        <v>0</v>
      </c>
      <c r="FV28" s="871">
        <f t="shared" si="98"/>
        <v>0</v>
      </c>
      <c r="GA28" s="1791">
        <v>50</v>
      </c>
      <c r="GB28" s="1792">
        <v>0</v>
      </c>
      <c r="GC28" s="1793">
        <v>-0.25</v>
      </c>
      <c r="GD28" s="1794">
        <v>-0.25</v>
      </c>
      <c r="GE28" s="1795">
        <f t="shared" si="99"/>
        <v>0</v>
      </c>
      <c r="GF28" s="600" t="str">
        <f t="shared" si="100"/>
        <v>J29</v>
      </c>
      <c r="GG28" s="1130">
        <v>0</v>
      </c>
      <c r="GH28" s="1131">
        <v>0</v>
      </c>
      <c r="GI28" s="1130"/>
      <c r="GJ28" s="1131"/>
      <c r="GK28" s="1638">
        <f t="shared" si="101"/>
        <v>599.5</v>
      </c>
      <c r="GL28" s="1636">
        <f t="shared" si="102"/>
        <v>599.5</v>
      </c>
      <c r="GM28" s="1637">
        <f>IF(ABS(GK28-GL28)&gt;='Job Info.'!$L$22,ABS(GK28-GL28),0)</f>
        <v>0</v>
      </c>
      <c r="HA28" s="1269" t="s">
        <v>1459</v>
      </c>
      <c r="HB28" s="1270">
        <v>6</v>
      </c>
      <c r="HC28" s="1270" t="s">
        <v>1592</v>
      </c>
      <c r="HD28" s="1271">
        <v>49</v>
      </c>
      <c r="HE28" s="1272">
        <v>11.5</v>
      </c>
      <c r="HF28" s="1270" t="s">
        <v>116</v>
      </c>
      <c r="HG28" s="1270" t="s">
        <v>116</v>
      </c>
      <c r="HH28" s="1270" t="s">
        <v>116</v>
      </c>
      <c r="HI28" s="1273" t="s">
        <v>116</v>
      </c>
      <c r="HJ28" s="1270" t="s">
        <v>116</v>
      </c>
      <c r="HK28" s="1270" t="s">
        <v>116</v>
      </c>
      <c r="HL28" s="1270">
        <v>5</v>
      </c>
      <c r="HM28" s="1270">
        <v>5</v>
      </c>
      <c r="HN28" s="1270" t="s">
        <v>116</v>
      </c>
      <c r="HO28" s="1270" t="s">
        <v>116</v>
      </c>
      <c r="HP28" s="1270" t="s">
        <v>116</v>
      </c>
      <c r="HQ28" s="1273" t="s">
        <v>116</v>
      </c>
      <c r="HR28" s="1270" t="s">
        <v>116</v>
      </c>
      <c r="HS28" s="1270" t="s">
        <v>116</v>
      </c>
      <c r="HT28" s="1270">
        <v>0</v>
      </c>
      <c r="HU28" s="1270">
        <v>2.25</v>
      </c>
      <c r="HV28" s="1270">
        <v>0</v>
      </c>
      <c r="HW28" s="1272">
        <v>2.25</v>
      </c>
      <c r="HX28" s="1272">
        <v>4</v>
      </c>
      <c r="HY28" s="1272" t="s">
        <v>116</v>
      </c>
      <c r="HZ28" s="1272" t="s">
        <v>116</v>
      </c>
      <c r="IA28" s="1272" t="s">
        <v>1670</v>
      </c>
      <c r="IB28" s="1272"/>
      <c r="IC28" s="1272"/>
      <c r="ID28" s="1272"/>
      <c r="IE28" s="1272"/>
      <c r="IF28" s="1274"/>
    </row>
    <row r="29" spans="1:240" ht="12.6" customHeight="1" x14ac:dyDescent="0.25">
      <c r="A29" s="1448" t="s">
        <v>1460</v>
      </c>
      <c r="B29" s="1681">
        <v>22</v>
      </c>
      <c r="C29" s="1449" t="s">
        <v>1592</v>
      </c>
      <c r="D29" s="1705">
        <v>49</v>
      </c>
      <c r="E29" s="1706">
        <v>11.5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103"/>
        <v/>
      </c>
      <c r="O29" s="1709" t="str">
        <f t="shared" si="104"/>
        <v/>
      </c>
      <c r="P29" s="1710" t="str">
        <f t="shared" si="105"/>
        <v/>
      </c>
      <c r="Q29" s="1705" t="str">
        <f t="shared" si="7"/>
        <v/>
      </c>
      <c r="R29" s="1709" t="str">
        <f t="shared" si="8"/>
        <v/>
      </c>
      <c r="S29" s="1711" t="str">
        <f t="shared" si="9"/>
        <v/>
      </c>
      <c r="T29" s="1714">
        <v>0</v>
      </c>
      <c r="U29" s="1709">
        <v>2.25</v>
      </c>
      <c r="V29" s="1705">
        <v>0</v>
      </c>
      <c r="W29" s="1709">
        <v>2.25</v>
      </c>
      <c r="X29" s="1713">
        <v>4</v>
      </c>
      <c r="Y29" s="1781" t="str">
        <f t="shared" si="10"/>
        <v/>
      </c>
      <c r="Z29" s="1782" t="str">
        <f t="shared" si="11"/>
        <v/>
      </c>
      <c r="AA29" s="1783" t="s">
        <v>1734</v>
      </c>
      <c r="AB29" s="1413"/>
      <c r="AC29" s="964" t="b">
        <v>0</v>
      </c>
      <c r="AD29" s="441">
        <f t="shared" si="12"/>
        <v>0</v>
      </c>
      <c r="AE29" s="442">
        <f t="shared" si="13"/>
        <v>22</v>
      </c>
      <c r="AF29" s="442">
        <f t="shared" si="14"/>
        <v>0</v>
      </c>
      <c r="AG29" s="442">
        <f t="shared" si="15"/>
        <v>0</v>
      </c>
      <c r="AH29" s="443">
        <f t="shared" si="16"/>
        <v>0</v>
      </c>
      <c r="AI29" s="444" t="b">
        <v>0</v>
      </c>
      <c r="AJ29" s="238">
        <f t="shared" si="17"/>
        <v>32</v>
      </c>
      <c r="AK29" s="830" t="str">
        <f t="shared" si="18"/>
        <v>LH</v>
      </c>
      <c r="AL29" s="945" t="str">
        <f t="shared" si="19"/>
        <v/>
      </c>
      <c r="AM29" s="830">
        <f t="shared" si="20"/>
        <v>305</v>
      </c>
      <c r="AN29" s="830">
        <f t="shared" si="21"/>
        <v>180</v>
      </c>
      <c r="AO29" s="830" t="str">
        <f t="shared" si="22"/>
        <v/>
      </c>
      <c r="AP29" s="830" t="b">
        <f>IF(ISERROR(AJ29),FALSE,IF(OR(AJ29=0,ISERROR(AL29),ISERROR(AM29),ISERROR(AN29),ISERROR(AO29)),FALSE,IF(AL29&lt;&gt;"",IF(ISERROR(VLOOKUP(SUBSTITUTE(SUBSTITUTE(C29,"R",""),"A",""),TblJoistSize!$A:$A,1,FALSE)),FALSE,TRUE),TRUE)))</f>
        <v>1</v>
      </c>
      <c r="AQ29" s="1038">
        <f t="shared" si="23"/>
        <v>6</v>
      </c>
      <c r="AR29" s="945" t="b">
        <f t="shared" si="24"/>
        <v>1</v>
      </c>
      <c r="AS29" s="1038">
        <f t="shared" si="25"/>
        <v>6</v>
      </c>
      <c r="AT29" s="945" t="b">
        <f t="shared" si="26"/>
        <v>1</v>
      </c>
      <c r="AU29" s="946" t="str">
        <f t="shared" si="27"/>
        <v>LH</v>
      </c>
      <c r="AV29" s="830" t="str">
        <f t="shared" si="28"/>
        <v/>
      </c>
      <c r="AW29" s="830" t="str">
        <f t="shared" si="29"/>
        <v>LH</v>
      </c>
      <c r="AX29" s="830" t="str">
        <f t="shared" si="106"/>
        <v>J30</v>
      </c>
      <c r="AY29" s="1039" t="b">
        <f t="shared" si="30"/>
        <v>0</v>
      </c>
      <c r="AZ29" s="856" t="b">
        <f t="shared" si="31"/>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2"/>
        <v/>
      </c>
      <c r="BR29" s="910"/>
      <c r="BS29" s="672"/>
      <c r="BT29" s="713"/>
      <c r="BU29" s="714"/>
      <c r="BV29" s="1625"/>
      <c r="BW29" s="713"/>
      <c r="BX29" s="714"/>
      <c r="BY29" s="715"/>
      <c r="BZ29" s="716"/>
      <c r="CA29" s="680" t="str">
        <f>IF(ISERROR(DE29),"",IF(DE29="","",IF(VLOOKUP(BS29,SectInfo!$B:$N,10,FALSE)="","","X")))</f>
        <v/>
      </c>
      <c r="CB29" s="738"/>
      <c r="CC29" s="1551" t="str">
        <f t="shared" si="33"/>
        <v/>
      </c>
      <c r="CD29" s="910"/>
      <c r="CE29" s="717"/>
      <c r="CF29" s="736"/>
      <c r="CG29" s="737"/>
      <c r="CH29" s="591" t="str">
        <f t="shared" si="34"/>
        <v/>
      </c>
      <c r="CI29" s="592" t="str">
        <f t="shared" si="35"/>
        <v/>
      </c>
      <c r="CJ29" s="593" t="str">
        <f t="shared" si="36"/>
        <v/>
      </c>
      <c r="CK29" s="594" t="str">
        <f t="shared" si="37"/>
        <v/>
      </c>
      <c r="CL29" s="595" t="str">
        <f t="shared" si="38"/>
        <v/>
      </c>
      <c r="CM29" s="596" t="str">
        <f t="shared" si="39"/>
        <v/>
      </c>
      <c r="CN29" s="597" t="str">
        <f t="shared" si="40"/>
        <v/>
      </c>
      <c r="CO29" s="598" t="str">
        <f t="shared" si="41"/>
        <v/>
      </c>
      <c r="CP29" s="615" t="str">
        <f t="shared" si="42"/>
        <v/>
      </c>
      <c r="CQ29" s="616" t="str">
        <f t="shared" si="43"/>
        <v/>
      </c>
      <c r="CR29" s="750">
        <f t="shared" si="44"/>
        <v>5</v>
      </c>
      <c r="CS29" s="751">
        <f t="shared" si="45"/>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6"/>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47"/>
        <v>0</v>
      </c>
      <c r="DO29" s="818">
        <f t="shared" si="48"/>
        <v>0</v>
      </c>
      <c r="DP29" s="822" t="str">
        <f t="shared" si="49"/>
        <v/>
      </c>
      <c r="DQ29" s="822" t="str">
        <f t="shared" si="50"/>
        <v/>
      </c>
      <c r="DR29" s="822" t="str">
        <f t="shared" si="51"/>
        <v/>
      </c>
      <c r="DS29" s="821">
        <f t="shared" si="52"/>
        <v>0</v>
      </c>
      <c r="DT29" s="821">
        <f t="shared" si="53"/>
        <v>0</v>
      </c>
      <c r="DU29" s="821" t="str">
        <f t="shared" si="54"/>
        <v/>
      </c>
      <c r="DV29" s="822" t="str">
        <f t="shared" si="55"/>
        <v/>
      </c>
      <c r="DW29" s="856" t="str">
        <f t="shared" si="56"/>
        <v/>
      </c>
      <c r="DX29" s="1006">
        <f t="shared" si="57"/>
        <v>0</v>
      </c>
      <c r="DY29" s="822">
        <f t="shared" si="58"/>
        <v>0</v>
      </c>
      <c r="DZ29" s="821">
        <f t="shared" si="59"/>
        <v>0</v>
      </c>
      <c r="EA29" s="821" t="str">
        <f t="shared" si="60"/>
        <v/>
      </c>
      <c r="EB29" s="822" t="str">
        <f t="shared" si="61"/>
        <v/>
      </c>
      <c r="EC29" s="856" t="str">
        <f t="shared" si="62"/>
        <v/>
      </c>
      <c r="ED29" s="1006">
        <f t="shared" si="63"/>
        <v>0</v>
      </c>
      <c r="EE29" s="1293" t="str">
        <f t="shared" si="64"/>
        <v/>
      </c>
      <c r="EF29" s="1293" t="str">
        <f t="shared" si="65"/>
        <v/>
      </c>
      <c r="EG29" s="1293" t="str">
        <f t="shared" si="66"/>
        <v/>
      </c>
      <c r="EH29" s="856" t="str">
        <f t="shared" si="67"/>
        <v>ERR</v>
      </c>
      <c r="EI29" s="856" t="str">
        <f t="shared" si="68"/>
        <v>ERR</v>
      </c>
      <c r="EJ29" s="822" t="str">
        <f t="shared" si="69"/>
        <v/>
      </c>
      <c r="EK29" s="822" t="str">
        <f t="shared" si="69"/>
        <v/>
      </c>
      <c r="EL29" s="1293" t="str">
        <f t="shared" si="70"/>
        <v/>
      </c>
      <c r="EM29" s="822" t="str">
        <f t="shared" si="71"/>
        <v/>
      </c>
      <c r="EN29" s="822" t="str">
        <f t="shared" si="72"/>
        <v/>
      </c>
      <c r="EO29" s="856" t="str">
        <f t="shared" si="73"/>
        <v>ERR</v>
      </c>
      <c r="EP29" s="856" t="str">
        <f t="shared" si="74"/>
        <v>ERR</v>
      </c>
      <c r="EQ29" s="1293" t="str">
        <f t="shared" si="75"/>
        <v/>
      </c>
      <c r="ER29" s="822" t="str">
        <f t="shared" si="75"/>
        <v/>
      </c>
      <c r="ES29" s="822" t="str">
        <f t="shared" si="76"/>
        <v/>
      </c>
      <c r="ET29" s="822" t="str">
        <f t="shared" si="77"/>
        <v/>
      </c>
      <c r="EU29" s="829">
        <f t="shared" si="78"/>
        <v>4</v>
      </c>
      <c r="EV29" s="824" t="str">
        <f t="shared" si="79"/>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0"/>
        <v/>
      </c>
      <c r="FA29" s="829" t="str">
        <f>IF(AND(DE29="G", ISBLANK(BW29), ISBLANK(BX29)),VLOOKUP(MIN(BT29:BU29),TblJoistSize!$M$3:$N$10,2),IF(OR(DE29="B", DE29="G"),MIN(BW29:BX29),""))</f>
        <v/>
      </c>
      <c r="FB29" s="829" t="str">
        <f>IF(AND(DE29="G", ISBLANK(BW29), ISBLANK(BX29)),VLOOKUP(MAX(BT29:BU29),TblJoistSize!$M$3:$N$10,2),IF(OR(DE29="B", DE29="G"),MAX(BW29:BX29),""))</f>
        <v/>
      </c>
      <c r="FC29" s="829" t="str">
        <f t="shared" si="81"/>
        <v/>
      </c>
      <c r="FD29" s="821">
        <f t="shared" si="107"/>
        <v>0</v>
      </c>
      <c r="FE29" s="821">
        <f t="shared" si="82"/>
        <v>0</v>
      </c>
      <c r="FF29" s="821">
        <f t="shared" si="83"/>
        <v>0</v>
      </c>
      <c r="FG29" s="821" t="str">
        <f t="shared" si="84"/>
        <v/>
      </c>
      <c r="FH29" s="822" t="str">
        <f t="shared" si="85"/>
        <v/>
      </c>
      <c r="FI29" s="821">
        <f t="shared" si="108"/>
        <v>0</v>
      </c>
      <c r="FJ29" s="821">
        <f t="shared" si="86"/>
        <v>0</v>
      </c>
      <c r="FK29" s="821">
        <f t="shared" si="87"/>
        <v>0</v>
      </c>
      <c r="FL29" s="821" t="str">
        <f t="shared" si="88"/>
        <v/>
      </c>
      <c r="FM29" s="822" t="str">
        <f t="shared" si="89"/>
        <v/>
      </c>
      <c r="FN29" s="822" t="e">
        <f t="shared" si="90"/>
        <v>#VALUE!</v>
      </c>
      <c r="FO29" s="940" t="e">
        <f t="shared" si="91"/>
        <v>#VALUE!</v>
      </c>
      <c r="FP29" s="940" t="e">
        <f t="shared" si="92"/>
        <v>#VALUE!</v>
      </c>
      <c r="FQ29" s="830" t="e">
        <f t="shared" si="93"/>
        <v>#VALUE!</v>
      </c>
      <c r="FR29" s="831" t="e">
        <f t="shared" si="94"/>
        <v>#VALUE!</v>
      </c>
      <c r="FS29" s="832" t="str">
        <f t="shared" si="95"/>
        <v/>
      </c>
      <c r="FT29" s="833" t="str">
        <f t="shared" si="96"/>
        <v/>
      </c>
      <c r="FU29" s="870">
        <f t="shared" si="97"/>
        <v>0</v>
      </c>
      <c r="FV29" s="871">
        <f t="shared" si="98"/>
        <v>0</v>
      </c>
      <c r="GA29" s="1791">
        <v>50</v>
      </c>
      <c r="GB29" s="1792">
        <v>0</v>
      </c>
      <c r="GC29" s="1793">
        <v>-0.25</v>
      </c>
      <c r="GD29" s="1794">
        <v>-0.25</v>
      </c>
      <c r="GE29" s="1795">
        <f t="shared" si="99"/>
        <v>0</v>
      </c>
      <c r="GF29" s="600" t="str">
        <f t="shared" si="100"/>
        <v>J30</v>
      </c>
      <c r="GG29" s="1130">
        <v>0</v>
      </c>
      <c r="GH29" s="1131">
        <v>0</v>
      </c>
      <c r="GI29" s="1130"/>
      <c r="GJ29" s="1131"/>
      <c r="GK29" s="1638">
        <f t="shared" si="101"/>
        <v>599.5</v>
      </c>
      <c r="GL29" s="1636">
        <f t="shared" si="102"/>
        <v>599.5</v>
      </c>
      <c r="GM29" s="1637">
        <f>IF(ABS(GK29-GL29)&gt;='Job Info.'!$L$22,ABS(GK29-GL29),0)</f>
        <v>0</v>
      </c>
      <c r="HA29" s="1269" t="s">
        <v>1460</v>
      </c>
      <c r="HB29" s="1270">
        <v>22</v>
      </c>
      <c r="HC29" s="1270" t="s">
        <v>1592</v>
      </c>
      <c r="HD29" s="1271">
        <v>49</v>
      </c>
      <c r="HE29" s="1272">
        <v>11.5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2.25</v>
      </c>
      <c r="HX29" s="1272">
        <v>4</v>
      </c>
      <c r="HY29" s="1272" t="s">
        <v>116</v>
      </c>
      <c r="HZ29" s="1272" t="s">
        <v>116</v>
      </c>
      <c r="IA29" s="1272" t="s">
        <v>1671</v>
      </c>
      <c r="IB29" s="1272"/>
      <c r="IC29" s="1272"/>
      <c r="ID29" s="1272"/>
      <c r="IE29" s="1272"/>
      <c r="IF29" s="1274"/>
    </row>
    <row r="30" spans="1:240" ht="12.6" customHeight="1" x14ac:dyDescent="0.25">
      <c r="A30" s="1448" t="s">
        <v>1461</v>
      </c>
      <c r="B30" s="1681">
        <v>2</v>
      </c>
      <c r="C30" s="1449" t="s">
        <v>1592</v>
      </c>
      <c r="D30" s="1705">
        <v>49</v>
      </c>
      <c r="E30" s="1706">
        <v>11.5</v>
      </c>
      <c r="F30" s="1714" t="str">
        <f t="shared" si="1"/>
        <v/>
      </c>
      <c r="G30" s="1709" t="str">
        <f t="shared" si="2"/>
        <v/>
      </c>
      <c r="H30" s="1779" t="str">
        <f t="shared" si="3"/>
        <v/>
      </c>
      <c r="I30" s="1705" t="str">
        <f t="shared" si="4"/>
        <v/>
      </c>
      <c r="J30" s="1709" t="str">
        <f t="shared" si="5"/>
        <v/>
      </c>
      <c r="K30" s="1796" t="str">
        <f t="shared" si="6"/>
        <v/>
      </c>
      <c r="L30" s="1712">
        <v>5</v>
      </c>
      <c r="M30" s="1713">
        <v>5</v>
      </c>
      <c r="N30" s="1708">
        <v>0</v>
      </c>
      <c r="O30" s="1709">
        <v>6.75</v>
      </c>
      <c r="P30" s="1710">
        <v>2</v>
      </c>
      <c r="Q30" s="1705">
        <v>0</v>
      </c>
      <c r="R30" s="1709">
        <v>6.75</v>
      </c>
      <c r="S30" s="1711">
        <v>2</v>
      </c>
      <c r="T30" s="1714">
        <v>0</v>
      </c>
      <c r="U30" s="1709">
        <v>2.25</v>
      </c>
      <c r="V30" s="1705">
        <v>0</v>
      </c>
      <c r="W30" s="1709">
        <v>2.25</v>
      </c>
      <c r="X30" s="1713">
        <v>4</v>
      </c>
      <c r="Y30" s="1781" t="str">
        <f t="shared" si="10"/>
        <v/>
      </c>
      <c r="Z30" s="1782" t="str">
        <f t="shared" si="11"/>
        <v/>
      </c>
      <c r="AA30" s="1783" t="s">
        <v>1735</v>
      </c>
      <c r="AB30" s="1413"/>
      <c r="AC30" s="964" t="b">
        <v>0</v>
      </c>
      <c r="AD30" s="441">
        <f t="shared" si="12"/>
        <v>0</v>
      </c>
      <c r="AE30" s="442">
        <f t="shared" si="13"/>
        <v>2</v>
      </c>
      <c r="AF30" s="442">
        <f t="shared" si="14"/>
        <v>0</v>
      </c>
      <c r="AG30" s="442">
        <f t="shared" si="15"/>
        <v>0</v>
      </c>
      <c r="AH30" s="443">
        <f t="shared" si="16"/>
        <v>0</v>
      </c>
      <c r="AI30" s="444" t="b">
        <v>0</v>
      </c>
      <c r="AJ30" s="238">
        <f t="shared" si="17"/>
        <v>32</v>
      </c>
      <c r="AK30" s="830" t="str">
        <f t="shared" si="18"/>
        <v>LH</v>
      </c>
      <c r="AL30" s="945" t="str">
        <f t="shared" si="19"/>
        <v/>
      </c>
      <c r="AM30" s="830">
        <f t="shared" si="20"/>
        <v>305</v>
      </c>
      <c r="AN30" s="830">
        <f t="shared" si="21"/>
        <v>180</v>
      </c>
      <c r="AO30" s="830" t="str">
        <f t="shared" si="22"/>
        <v/>
      </c>
      <c r="AP30" s="830" t="b">
        <f>IF(ISERROR(AJ30),FALSE,IF(OR(AJ30=0,ISERROR(AL30),ISERROR(AM30),ISERROR(AN30),ISERROR(AO30)),FALSE,IF(AL30&lt;&gt;"",IF(ISERROR(VLOOKUP(SUBSTITUTE(SUBSTITUTE(C30,"R",""),"A",""),TblJoistSize!$A:$A,1,FALSE)),FALSE,TRUE),TRUE)))</f>
        <v>1</v>
      </c>
      <c r="AQ30" s="1038">
        <f t="shared" si="23"/>
        <v>6</v>
      </c>
      <c r="AR30" s="945" t="b">
        <f t="shared" si="24"/>
        <v>1</v>
      </c>
      <c r="AS30" s="1038">
        <f t="shared" si="25"/>
        <v>6</v>
      </c>
      <c r="AT30" s="945" t="b">
        <f t="shared" si="26"/>
        <v>1</v>
      </c>
      <c r="AU30" s="946" t="str">
        <f t="shared" si="27"/>
        <v>LH</v>
      </c>
      <c r="AV30" s="830" t="str">
        <f t="shared" si="28"/>
        <v/>
      </c>
      <c r="AW30" s="830" t="str">
        <f t="shared" si="29"/>
        <v>LH</v>
      </c>
      <c r="AX30" s="830" t="str">
        <f t="shared" si="106"/>
        <v>TJ31</v>
      </c>
      <c r="AY30" s="1039" t="b">
        <f t="shared" si="30"/>
        <v>0</v>
      </c>
      <c r="AZ30" s="856" t="b">
        <f t="shared" si="31"/>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2"/>
        <v/>
      </c>
      <c r="BR30" s="910"/>
      <c r="BS30" s="672"/>
      <c r="BT30" s="713"/>
      <c r="BU30" s="714"/>
      <c r="BV30" s="1625"/>
      <c r="BW30" s="713"/>
      <c r="BX30" s="714"/>
      <c r="BY30" s="715"/>
      <c r="BZ30" s="716"/>
      <c r="CA30" s="680" t="str">
        <f>IF(ISERROR(DE30),"",IF(DE30="","",IF(VLOOKUP(BS30,SectInfo!$B:$N,10,FALSE)="","","X")))</f>
        <v/>
      </c>
      <c r="CB30" s="738"/>
      <c r="CC30" s="1551" t="str">
        <f t="shared" si="33"/>
        <v/>
      </c>
      <c r="CD30" s="910"/>
      <c r="CE30" s="717"/>
      <c r="CF30" s="736"/>
      <c r="CG30" s="737"/>
      <c r="CH30" s="591" t="str">
        <f t="shared" si="34"/>
        <v/>
      </c>
      <c r="CI30" s="592" t="str">
        <f t="shared" si="35"/>
        <v/>
      </c>
      <c r="CJ30" s="593" t="str">
        <f t="shared" si="36"/>
        <v/>
      </c>
      <c r="CK30" s="594" t="str">
        <f t="shared" si="37"/>
        <v/>
      </c>
      <c r="CL30" s="595" t="str">
        <f t="shared" si="38"/>
        <v/>
      </c>
      <c r="CM30" s="596" t="str">
        <f t="shared" si="39"/>
        <v/>
      </c>
      <c r="CN30" s="597" t="str">
        <f t="shared" si="40"/>
        <v/>
      </c>
      <c r="CO30" s="598" t="str">
        <f t="shared" si="41"/>
        <v/>
      </c>
      <c r="CP30" s="615" t="str">
        <f t="shared" si="42"/>
        <v/>
      </c>
      <c r="CQ30" s="616" t="str">
        <f t="shared" si="43"/>
        <v/>
      </c>
      <c r="CR30" s="750">
        <f t="shared" si="44"/>
        <v>5</v>
      </c>
      <c r="CS30" s="751">
        <f t="shared" si="45"/>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6"/>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47"/>
        <v>0</v>
      </c>
      <c r="DO30" s="818">
        <f t="shared" si="48"/>
        <v>0</v>
      </c>
      <c r="DP30" s="822" t="str">
        <f t="shared" si="49"/>
        <v/>
      </c>
      <c r="DQ30" s="822" t="str">
        <f t="shared" si="50"/>
        <v/>
      </c>
      <c r="DR30" s="822" t="str">
        <f t="shared" si="51"/>
        <v/>
      </c>
      <c r="DS30" s="821">
        <f t="shared" si="52"/>
        <v>0</v>
      </c>
      <c r="DT30" s="821">
        <f t="shared" si="53"/>
        <v>0</v>
      </c>
      <c r="DU30" s="821" t="str">
        <f t="shared" si="54"/>
        <v/>
      </c>
      <c r="DV30" s="822" t="str">
        <f t="shared" si="55"/>
        <v/>
      </c>
      <c r="DW30" s="856" t="str">
        <f t="shared" si="56"/>
        <v/>
      </c>
      <c r="DX30" s="1006">
        <f t="shared" si="57"/>
        <v>0</v>
      </c>
      <c r="DY30" s="822">
        <f t="shared" si="58"/>
        <v>0</v>
      </c>
      <c r="DZ30" s="821">
        <f t="shared" si="59"/>
        <v>0</v>
      </c>
      <c r="EA30" s="821" t="str">
        <f t="shared" si="60"/>
        <v/>
      </c>
      <c r="EB30" s="822" t="str">
        <f t="shared" si="61"/>
        <v/>
      </c>
      <c r="EC30" s="856" t="str">
        <f t="shared" si="62"/>
        <v/>
      </c>
      <c r="ED30" s="1006">
        <f t="shared" si="63"/>
        <v>0</v>
      </c>
      <c r="EE30" s="1293" t="str">
        <f t="shared" si="64"/>
        <v/>
      </c>
      <c r="EF30" s="1293" t="str">
        <f t="shared" si="65"/>
        <v/>
      </c>
      <c r="EG30" s="1293" t="str">
        <f t="shared" si="66"/>
        <v/>
      </c>
      <c r="EH30" s="856" t="str">
        <f t="shared" si="67"/>
        <v>ERR</v>
      </c>
      <c r="EI30" s="856" t="str">
        <f t="shared" si="68"/>
        <v>ERR</v>
      </c>
      <c r="EJ30" s="822" t="str">
        <f t="shared" si="69"/>
        <v/>
      </c>
      <c r="EK30" s="822" t="str">
        <f t="shared" si="69"/>
        <v/>
      </c>
      <c r="EL30" s="1293" t="str">
        <f t="shared" si="70"/>
        <v/>
      </c>
      <c r="EM30" s="822" t="str">
        <f t="shared" si="71"/>
        <v/>
      </c>
      <c r="EN30" s="822" t="str">
        <f t="shared" si="72"/>
        <v/>
      </c>
      <c r="EO30" s="856" t="str">
        <f t="shared" si="73"/>
        <v>ERR</v>
      </c>
      <c r="EP30" s="856" t="str">
        <f t="shared" si="74"/>
        <v>ERR</v>
      </c>
      <c r="EQ30" s="1293" t="str">
        <f t="shared" si="75"/>
        <v/>
      </c>
      <c r="ER30" s="822" t="str">
        <f t="shared" si="75"/>
        <v/>
      </c>
      <c r="ES30" s="822" t="str">
        <f t="shared" si="76"/>
        <v/>
      </c>
      <c r="ET30" s="822" t="str">
        <f t="shared" si="77"/>
        <v/>
      </c>
      <c r="EU30" s="829">
        <f t="shared" si="78"/>
        <v>4</v>
      </c>
      <c r="EV30" s="824" t="str">
        <f t="shared" si="79"/>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0"/>
        <v/>
      </c>
      <c r="FA30" s="829" t="str">
        <f>IF(AND(DE30="G", ISBLANK(BW30), ISBLANK(BX30)),VLOOKUP(MIN(BT30:BU30),TblJoistSize!$M$3:$N$10,2),IF(OR(DE30="B", DE30="G"),MIN(BW30:BX30),""))</f>
        <v/>
      </c>
      <c r="FB30" s="829" t="str">
        <f>IF(AND(DE30="G", ISBLANK(BW30), ISBLANK(BX30)),VLOOKUP(MAX(BT30:BU30),TblJoistSize!$M$3:$N$10,2),IF(OR(DE30="B", DE30="G"),MAX(BW30:BX30),""))</f>
        <v/>
      </c>
      <c r="FC30" s="829" t="str">
        <f t="shared" si="81"/>
        <v/>
      </c>
      <c r="FD30" s="821">
        <f t="shared" si="107"/>
        <v>0</v>
      </c>
      <c r="FE30" s="821">
        <f t="shared" si="82"/>
        <v>0</v>
      </c>
      <c r="FF30" s="821">
        <f t="shared" si="83"/>
        <v>0</v>
      </c>
      <c r="FG30" s="821" t="str">
        <f t="shared" si="84"/>
        <v/>
      </c>
      <c r="FH30" s="822" t="str">
        <f t="shared" si="85"/>
        <v/>
      </c>
      <c r="FI30" s="821">
        <f t="shared" si="108"/>
        <v>0</v>
      </c>
      <c r="FJ30" s="821">
        <f t="shared" si="86"/>
        <v>0</v>
      </c>
      <c r="FK30" s="821">
        <f t="shared" si="87"/>
        <v>0</v>
      </c>
      <c r="FL30" s="821" t="str">
        <f t="shared" si="88"/>
        <v/>
      </c>
      <c r="FM30" s="822" t="str">
        <f t="shared" si="89"/>
        <v/>
      </c>
      <c r="FN30" s="822" t="e">
        <f t="shared" si="90"/>
        <v>#VALUE!</v>
      </c>
      <c r="FO30" s="940" t="e">
        <f t="shared" si="91"/>
        <v>#VALUE!</v>
      </c>
      <c r="FP30" s="940" t="e">
        <f t="shared" si="92"/>
        <v>#VALUE!</v>
      </c>
      <c r="FQ30" s="830" t="e">
        <f t="shared" si="93"/>
        <v>#VALUE!</v>
      </c>
      <c r="FR30" s="831" t="e">
        <f t="shared" si="94"/>
        <v>#VALUE!</v>
      </c>
      <c r="FS30" s="832" t="str">
        <f t="shared" si="95"/>
        <v/>
      </c>
      <c r="FT30" s="833" t="str">
        <f t="shared" si="96"/>
        <v/>
      </c>
      <c r="FU30" s="870">
        <f t="shared" si="97"/>
        <v>0</v>
      </c>
      <c r="FV30" s="871">
        <f t="shared" si="98"/>
        <v>0</v>
      </c>
      <c r="GA30" s="1791">
        <v>50</v>
      </c>
      <c r="GB30" s="1792">
        <v>0</v>
      </c>
      <c r="GC30" s="1793">
        <v>-0.25</v>
      </c>
      <c r="GD30" s="1794">
        <v>-0.25</v>
      </c>
      <c r="GE30" s="1795">
        <f t="shared" si="99"/>
        <v>0</v>
      </c>
      <c r="GF30" s="600" t="str">
        <f t="shared" si="100"/>
        <v>TJ31</v>
      </c>
      <c r="GG30" s="1130">
        <v>0</v>
      </c>
      <c r="GH30" s="1131">
        <v>0</v>
      </c>
      <c r="GI30" s="1130"/>
      <c r="GJ30" s="1131"/>
      <c r="GK30" s="1638">
        <f t="shared" si="101"/>
        <v>599.5</v>
      </c>
      <c r="GL30" s="1636">
        <f t="shared" si="102"/>
        <v>599.5</v>
      </c>
      <c r="GM30" s="1637">
        <f>IF(ABS(GK30-GL30)&gt;='Job Info.'!$L$22,ABS(GK30-GL30),0)</f>
        <v>0</v>
      </c>
      <c r="HA30" s="1269" t="s">
        <v>1461</v>
      </c>
      <c r="HB30" s="1270">
        <v>2</v>
      </c>
      <c r="HC30" s="1270" t="s">
        <v>1592</v>
      </c>
      <c r="HD30" s="1271">
        <v>49</v>
      </c>
      <c r="HE30" s="1272">
        <v>11.5</v>
      </c>
      <c r="HF30" s="1270" t="s">
        <v>116</v>
      </c>
      <c r="HG30" s="1270" t="s">
        <v>116</v>
      </c>
      <c r="HH30" s="1270" t="s">
        <v>116</v>
      </c>
      <c r="HI30" s="1273" t="s">
        <v>116</v>
      </c>
      <c r="HJ30" s="1270" t="s">
        <v>116</v>
      </c>
      <c r="HK30" s="1270" t="s">
        <v>116</v>
      </c>
      <c r="HL30" s="1270">
        <v>5</v>
      </c>
      <c r="HM30" s="1270">
        <v>5</v>
      </c>
      <c r="HN30" s="1270">
        <v>0</v>
      </c>
      <c r="HO30" s="1270">
        <v>6.75</v>
      </c>
      <c r="HP30" s="1270">
        <v>2</v>
      </c>
      <c r="HQ30" s="1273">
        <v>0</v>
      </c>
      <c r="HR30" s="1270">
        <v>6.75</v>
      </c>
      <c r="HS30" s="1270">
        <v>2</v>
      </c>
      <c r="HT30" s="1270">
        <v>0</v>
      </c>
      <c r="HU30" s="1270">
        <v>2.25</v>
      </c>
      <c r="HV30" s="1270">
        <v>0</v>
      </c>
      <c r="HW30" s="1272">
        <v>2.25</v>
      </c>
      <c r="HX30" s="1272">
        <v>4</v>
      </c>
      <c r="HY30" s="1272" t="s">
        <v>116</v>
      </c>
      <c r="HZ30" s="1272" t="s">
        <v>116</v>
      </c>
      <c r="IA30" s="1272" t="s">
        <v>1671</v>
      </c>
      <c r="IB30" s="1272"/>
      <c r="IC30" s="1272"/>
      <c r="ID30" s="1272"/>
      <c r="IE30" s="1272"/>
      <c r="IF30" s="1274"/>
    </row>
    <row r="31" spans="1:240" ht="12.6" customHeight="1" x14ac:dyDescent="0.25">
      <c r="A31" s="1448" t="s">
        <v>1462</v>
      </c>
      <c r="B31" s="1681">
        <v>2</v>
      </c>
      <c r="C31" s="1449" t="s">
        <v>1592</v>
      </c>
      <c r="D31" s="1705">
        <v>49</v>
      </c>
      <c r="E31" s="1706">
        <v>11.5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103"/>
        <v/>
      </c>
      <c r="O31" s="1709" t="str">
        <f t="shared" si="104"/>
        <v/>
      </c>
      <c r="P31" s="1710" t="str">
        <f t="shared" si="105"/>
        <v/>
      </c>
      <c r="Q31" s="1705" t="str">
        <f t="shared" si="7"/>
        <v/>
      </c>
      <c r="R31" s="1709" t="str">
        <f t="shared" si="8"/>
        <v/>
      </c>
      <c r="S31" s="1711" t="str">
        <f t="shared" si="9"/>
        <v/>
      </c>
      <c r="T31" s="1714">
        <v>0</v>
      </c>
      <c r="U31" s="1709">
        <v>2.25</v>
      </c>
      <c r="V31" s="1705">
        <v>0</v>
      </c>
      <c r="W31" s="1709">
        <v>2.25</v>
      </c>
      <c r="X31" s="1713">
        <v>4</v>
      </c>
      <c r="Y31" s="1781" t="str">
        <f t="shared" si="10"/>
        <v/>
      </c>
      <c r="Z31" s="1782" t="str">
        <f t="shared" si="11"/>
        <v/>
      </c>
      <c r="AA31" s="1783" t="s">
        <v>1736</v>
      </c>
      <c r="AB31" s="1413"/>
      <c r="AC31" s="964" t="b">
        <v>0</v>
      </c>
      <c r="AD31" s="441">
        <f t="shared" si="12"/>
        <v>0</v>
      </c>
      <c r="AE31" s="442">
        <f t="shared" si="13"/>
        <v>2</v>
      </c>
      <c r="AF31" s="442">
        <f t="shared" si="14"/>
        <v>0</v>
      </c>
      <c r="AG31" s="442">
        <f t="shared" si="15"/>
        <v>0</v>
      </c>
      <c r="AH31" s="443">
        <f t="shared" si="16"/>
        <v>0</v>
      </c>
      <c r="AI31" s="444" t="b">
        <v>0</v>
      </c>
      <c r="AJ31" s="238">
        <f t="shared" si="17"/>
        <v>32</v>
      </c>
      <c r="AK31" s="830" t="str">
        <f t="shared" si="18"/>
        <v>LH</v>
      </c>
      <c r="AL31" s="945" t="str">
        <f t="shared" si="19"/>
        <v/>
      </c>
      <c r="AM31" s="830">
        <f t="shared" si="20"/>
        <v>305</v>
      </c>
      <c r="AN31" s="830">
        <f t="shared" si="21"/>
        <v>180</v>
      </c>
      <c r="AO31" s="830" t="str">
        <f t="shared" si="22"/>
        <v/>
      </c>
      <c r="AP31" s="830" t="b">
        <f>IF(ISERROR(AJ31),FALSE,IF(OR(AJ31=0,ISERROR(AL31),ISERROR(AM31),ISERROR(AN31),ISERROR(AO31)),FALSE,IF(AL31&lt;&gt;"",IF(ISERROR(VLOOKUP(SUBSTITUTE(SUBSTITUTE(C31,"R",""),"A",""),TblJoistSize!$A:$A,1,FALSE)),FALSE,TRUE),TRUE)))</f>
        <v>1</v>
      </c>
      <c r="AQ31" s="1038">
        <f t="shared" si="23"/>
        <v>6</v>
      </c>
      <c r="AR31" s="945" t="b">
        <f t="shared" si="24"/>
        <v>1</v>
      </c>
      <c r="AS31" s="1038">
        <f t="shared" si="25"/>
        <v>6</v>
      </c>
      <c r="AT31" s="945" t="b">
        <f t="shared" si="26"/>
        <v>1</v>
      </c>
      <c r="AU31" s="946" t="str">
        <f t="shared" si="27"/>
        <v>LH</v>
      </c>
      <c r="AV31" s="830" t="str">
        <f t="shared" si="28"/>
        <v/>
      </c>
      <c r="AW31" s="830" t="str">
        <f t="shared" si="29"/>
        <v>LH</v>
      </c>
      <c r="AX31" s="830" t="str">
        <f t="shared" si="106"/>
        <v>J32</v>
      </c>
      <c r="AY31" s="1039" t="b">
        <f t="shared" si="30"/>
        <v>0</v>
      </c>
      <c r="AZ31" s="856" t="b">
        <f t="shared" si="31"/>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2"/>
        <v/>
      </c>
      <c r="BR31" s="910"/>
      <c r="BS31" s="672"/>
      <c r="BT31" s="713"/>
      <c r="BU31" s="714"/>
      <c r="BV31" s="1625"/>
      <c r="BW31" s="713"/>
      <c r="BX31" s="714"/>
      <c r="BY31" s="715"/>
      <c r="BZ31" s="716"/>
      <c r="CA31" s="680" t="str">
        <f>IF(ISERROR(DE31),"",IF(DE31="","",IF(VLOOKUP(BS31,SectInfo!$B:$N,10,FALSE)="","","X")))</f>
        <v/>
      </c>
      <c r="CB31" s="738"/>
      <c r="CC31" s="1551" t="str">
        <f t="shared" si="33"/>
        <v/>
      </c>
      <c r="CD31" s="910"/>
      <c r="CE31" s="717"/>
      <c r="CF31" s="736"/>
      <c r="CG31" s="737"/>
      <c r="CH31" s="591" t="str">
        <f t="shared" si="34"/>
        <v/>
      </c>
      <c r="CI31" s="592" t="str">
        <f t="shared" si="35"/>
        <v/>
      </c>
      <c r="CJ31" s="593" t="str">
        <f t="shared" si="36"/>
        <v/>
      </c>
      <c r="CK31" s="594" t="str">
        <f t="shared" si="37"/>
        <v/>
      </c>
      <c r="CL31" s="595" t="str">
        <f t="shared" si="38"/>
        <v/>
      </c>
      <c r="CM31" s="596" t="str">
        <f t="shared" si="39"/>
        <v/>
      </c>
      <c r="CN31" s="597" t="str">
        <f t="shared" si="40"/>
        <v/>
      </c>
      <c r="CO31" s="598" t="str">
        <f t="shared" si="41"/>
        <v/>
      </c>
      <c r="CP31" s="615" t="str">
        <f t="shared" si="42"/>
        <v/>
      </c>
      <c r="CQ31" s="616" t="str">
        <f t="shared" si="43"/>
        <v/>
      </c>
      <c r="CR31" s="750">
        <f t="shared" si="44"/>
        <v>5</v>
      </c>
      <c r="CS31" s="751">
        <f t="shared" si="45"/>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6"/>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47"/>
        <v>0</v>
      </c>
      <c r="DO31" s="818">
        <f t="shared" si="48"/>
        <v>0</v>
      </c>
      <c r="DP31" s="822" t="str">
        <f t="shared" si="49"/>
        <v/>
      </c>
      <c r="DQ31" s="822" t="str">
        <f t="shared" si="50"/>
        <v/>
      </c>
      <c r="DR31" s="822" t="str">
        <f t="shared" si="51"/>
        <v/>
      </c>
      <c r="DS31" s="821">
        <f t="shared" si="52"/>
        <v>0</v>
      </c>
      <c r="DT31" s="821">
        <f t="shared" si="53"/>
        <v>0</v>
      </c>
      <c r="DU31" s="821" t="str">
        <f t="shared" si="54"/>
        <v/>
      </c>
      <c r="DV31" s="822" t="str">
        <f t="shared" si="55"/>
        <v/>
      </c>
      <c r="DW31" s="856" t="str">
        <f t="shared" si="56"/>
        <v/>
      </c>
      <c r="DX31" s="1006">
        <f t="shared" si="57"/>
        <v>0</v>
      </c>
      <c r="DY31" s="822">
        <f t="shared" si="58"/>
        <v>0</v>
      </c>
      <c r="DZ31" s="821">
        <f t="shared" si="59"/>
        <v>0</v>
      </c>
      <c r="EA31" s="821" t="str">
        <f t="shared" si="60"/>
        <v/>
      </c>
      <c r="EB31" s="822" t="str">
        <f t="shared" si="61"/>
        <v/>
      </c>
      <c r="EC31" s="856" t="str">
        <f t="shared" si="62"/>
        <v/>
      </c>
      <c r="ED31" s="1006">
        <f t="shared" si="63"/>
        <v>0</v>
      </c>
      <c r="EE31" s="1293" t="str">
        <f t="shared" si="64"/>
        <v/>
      </c>
      <c r="EF31" s="1293" t="str">
        <f t="shared" si="65"/>
        <v/>
      </c>
      <c r="EG31" s="1293" t="str">
        <f t="shared" si="66"/>
        <v/>
      </c>
      <c r="EH31" s="856" t="str">
        <f t="shared" si="67"/>
        <v>ERR</v>
      </c>
      <c r="EI31" s="856" t="str">
        <f t="shared" si="68"/>
        <v>ERR</v>
      </c>
      <c r="EJ31" s="822" t="str">
        <f t="shared" si="69"/>
        <v/>
      </c>
      <c r="EK31" s="822" t="str">
        <f t="shared" si="69"/>
        <v/>
      </c>
      <c r="EL31" s="1293" t="str">
        <f t="shared" si="70"/>
        <v/>
      </c>
      <c r="EM31" s="822" t="str">
        <f t="shared" si="71"/>
        <v/>
      </c>
      <c r="EN31" s="822" t="str">
        <f t="shared" si="72"/>
        <v/>
      </c>
      <c r="EO31" s="856" t="str">
        <f t="shared" si="73"/>
        <v>ERR</v>
      </c>
      <c r="EP31" s="856" t="str">
        <f t="shared" si="74"/>
        <v>ERR</v>
      </c>
      <c r="EQ31" s="1293" t="str">
        <f t="shared" si="75"/>
        <v/>
      </c>
      <c r="ER31" s="822" t="str">
        <f t="shared" si="75"/>
        <v/>
      </c>
      <c r="ES31" s="822" t="str">
        <f t="shared" si="76"/>
        <v/>
      </c>
      <c r="ET31" s="822" t="str">
        <f t="shared" si="77"/>
        <v/>
      </c>
      <c r="EU31" s="829">
        <f t="shared" si="78"/>
        <v>4</v>
      </c>
      <c r="EV31" s="824" t="str">
        <f t="shared" si="79"/>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0"/>
        <v/>
      </c>
      <c r="FA31" s="829" t="str">
        <f>IF(AND(DE31="G", ISBLANK(BW31), ISBLANK(BX31)),VLOOKUP(MIN(BT31:BU31),TblJoistSize!$M$3:$N$10,2),IF(OR(DE31="B", DE31="G"),MIN(BW31:BX31),""))</f>
        <v/>
      </c>
      <c r="FB31" s="829" t="str">
        <f>IF(AND(DE31="G", ISBLANK(BW31), ISBLANK(BX31)),VLOOKUP(MAX(BT31:BU31),TblJoistSize!$M$3:$N$10,2),IF(OR(DE31="B", DE31="G"),MAX(BW31:BX31),""))</f>
        <v/>
      </c>
      <c r="FC31" s="829" t="str">
        <f t="shared" si="81"/>
        <v/>
      </c>
      <c r="FD31" s="821">
        <f t="shared" si="107"/>
        <v>0</v>
      </c>
      <c r="FE31" s="821">
        <f t="shared" si="82"/>
        <v>0</v>
      </c>
      <c r="FF31" s="821">
        <f t="shared" si="83"/>
        <v>0</v>
      </c>
      <c r="FG31" s="821" t="str">
        <f t="shared" si="84"/>
        <v/>
      </c>
      <c r="FH31" s="822" t="str">
        <f t="shared" si="85"/>
        <v/>
      </c>
      <c r="FI31" s="821">
        <f t="shared" si="108"/>
        <v>0</v>
      </c>
      <c r="FJ31" s="821">
        <f t="shared" si="86"/>
        <v>0</v>
      </c>
      <c r="FK31" s="821">
        <f t="shared" si="87"/>
        <v>0</v>
      </c>
      <c r="FL31" s="821" t="str">
        <f t="shared" si="88"/>
        <v/>
      </c>
      <c r="FM31" s="822" t="str">
        <f t="shared" si="89"/>
        <v/>
      </c>
      <c r="FN31" s="822" t="e">
        <f t="shared" si="90"/>
        <v>#VALUE!</v>
      </c>
      <c r="FO31" s="940" t="e">
        <f t="shared" si="91"/>
        <v>#VALUE!</v>
      </c>
      <c r="FP31" s="940" t="e">
        <f t="shared" si="92"/>
        <v>#VALUE!</v>
      </c>
      <c r="FQ31" s="830" t="e">
        <f t="shared" si="93"/>
        <v>#VALUE!</v>
      </c>
      <c r="FR31" s="831" t="e">
        <f t="shared" si="94"/>
        <v>#VALUE!</v>
      </c>
      <c r="FS31" s="832" t="str">
        <f t="shared" si="95"/>
        <v/>
      </c>
      <c r="FT31" s="833" t="str">
        <f t="shared" si="96"/>
        <v/>
      </c>
      <c r="FU31" s="870">
        <f t="shared" si="97"/>
        <v>0</v>
      </c>
      <c r="FV31" s="871">
        <f t="shared" si="98"/>
        <v>0</v>
      </c>
      <c r="GA31" s="1791">
        <v>50</v>
      </c>
      <c r="GB31" s="1792">
        <v>0</v>
      </c>
      <c r="GC31" s="1793">
        <v>-0.25</v>
      </c>
      <c r="GD31" s="1794">
        <v>-0.25</v>
      </c>
      <c r="GE31" s="1795">
        <f t="shared" si="99"/>
        <v>0</v>
      </c>
      <c r="GF31" s="600" t="str">
        <f t="shared" si="100"/>
        <v>J32</v>
      </c>
      <c r="GG31" s="1130">
        <v>0</v>
      </c>
      <c r="GH31" s="1131">
        <v>0</v>
      </c>
      <c r="GI31" s="1130"/>
      <c r="GJ31" s="1131"/>
      <c r="GK31" s="1638">
        <f t="shared" si="101"/>
        <v>599.5</v>
      </c>
      <c r="GL31" s="1636">
        <f t="shared" si="102"/>
        <v>599.5</v>
      </c>
      <c r="GM31" s="1637">
        <f>IF(ABS(GK31-GL31)&gt;='Job Info.'!$L$22,ABS(GK31-GL31),0)</f>
        <v>0</v>
      </c>
      <c r="HA31" s="1269" t="s">
        <v>1462</v>
      </c>
      <c r="HB31" s="1270">
        <v>2</v>
      </c>
      <c r="HC31" s="1270" t="s">
        <v>1592</v>
      </c>
      <c r="HD31" s="1271">
        <v>49</v>
      </c>
      <c r="HE31" s="1272">
        <v>11.5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2.25</v>
      </c>
      <c r="HX31" s="1272">
        <v>4</v>
      </c>
      <c r="HY31" s="1272" t="s">
        <v>116</v>
      </c>
      <c r="HZ31" s="1272" t="s">
        <v>116</v>
      </c>
      <c r="IA31" s="1272" t="s">
        <v>1672</v>
      </c>
      <c r="IB31" s="1272"/>
      <c r="IC31" s="1272"/>
      <c r="ID31" s="1272"/>
      <c r="IE31" s="1272"/>
      <c r="IF31" s="1274"/>
    </row>
    <row r="32" spans="1:240" ht="12.6" customHeight="1" x14ac:dyDescent="0.25">
      <c r="A32" s="1448" t="s">
        <v>1463</v>
      </c>
      <c r="B32" s="1681">
        <v>2</v>
      </c>
      <c r="C32" s="1449" t="s">
        <v>1592</v>
      </c>
      <c r="D32" s="1705">
        <v>49</v>
      </c>
      <c r="E32" s="1706">
        <v>11.5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103"/>
        <v/>
      </c>
      <c r="O32" s="1709" t="str">
        <f t="shared" si="104"/>
        <v/>
      </c>
      <c r="P32" s="1710" t="str">
        <f t="shared" si="105"/>
        <v/>
      </c>
      <c r="Q32" s="1705" t="str">
        <f t="shared" si="7"/>
        <v/>
      </c>
      <c r="R32" s="1709" t="str">
        <f t="shared" si="8"/>
        <v/>
      </c>
      <c r="S32" s="1711" t="str">
        <f t="shared" si="9"/>
        <v/>
      </c>
      <c r="T32" s="1714">
        <v>0</v>
      </c>
      <c r="U32" s="1709">
        <v>2.25</v>
      </c>
      <c r="V32" s="1705">
        <v>0</v>
      </c>
      <c r="W32" s="1709">
        <v>2.25</v>
      </c>
      <c r="X32" s="1713">
        <v>4</v>
      </c>
      <c r="Y32" s="1781" t="str">
        <f t="shared" si="10"/>
        <v/>
      </c>
      <c r="Z32" s="1782" t="str">
        <f t="shared" si="11"/>
        <v/>
      </c>
      <c r="AA32" s="1783" t="s">
        <v>1737</v>
      </c>
      <c r="AB32" s="1413"/>
      <c r="AC32" s="964" t="b">
        <v>0</v>
      </c>
      <c r="AD32" s="441">
        <f t="shared" si="12"/>
        <v>0</v>
      </c>
      <c r="AE32" s="442">
        <f t="shared" si="13"/>
        <v>2</v>
      </c>
      <c r="AF32" s="442">
        <f t="shared" si="14"/>
        <v>0</v>
      </c>
      <c r="AG32" s="442">
        <f t="shared" si="15"/>
        <v>0</v>
      </c>
      <c r="AH32" s="443">
        <f t="shared" si="16"/>
        <v>0</v>
      </c>
      <c r="AI32" s="444" t="b">
        <v>0</v>
      </c>
      <c r="AJ32" s="238">
        <f t="shared" si="17"/>
        <v>32</v>
      </c>
      <c r="AK32" s="830" t="str">
        <f t="shared" si="18"/>
        <v>LH</v>
      </c>
      <c r="AL32" s="945" t="str">
        <f t="shared" si="19"/>
        <v/>
      </c>
      <c r="AM32" s="830">
        <f t="shared" si="20"/>
        <v>305</v>
      </c>
      <c r="AN32" s="830">
        <f t="shared" si="21"/>
        <v>180</v>
      </c>
      <c r="AO32" s="830" t="str">
        <f t="shared" si="22"/>
        <v/>
      </c>
      <c r="AP32" s="830" t="b">
        <f>IF(ISERROR(AJ32),FALSE,IF(OR(AJ32=0,ISERROR(AL32),ISERROR(AM32),ISERROR(AN32),ISERROR(AO32)),FALSE,IF(AL32&lt;&gt;"",IF(ISERROR(VLOOKUP(SUBSTITUTE(SUBSTITUTE(C32,"R",""),"A",""),TblJoistSize!$A:$A,1,FALSE)),FALSE,TRUE),TRUE)))</f>
        <v>1</v>
      </c>
      <c r="AQ32" s="1038">
        <f t="shared" si="23"/>
        <v>6</v>
      </c>
      <c r="AR32" s="945" t="b">
        <f t="shared" si="24"/>
        <v>1</v>
      </c>
      <c r="AS32" s="1038">
        <f t="shared" si="25"/>
        <v>6</v>
      </c>
      <c r="AT32" s="945" t="b">
        <f t="shared" si="26"/>
        <v>1</v>
      </c>
      <c r="AU32" s="946" t="str">
        <f t="shared" si="27"/>
        <v>LH</v>
      </c>
      <c r="AV32" s="830" t="str">
        <f t="shared" si="28"/>
        <v/>
      </c>
      <c r="AW32" s="830" t="str">
        <f t="shared" si="29"/>
        <v>LH</v>
      </c>
      <c r="AX32" s="830" t="str">
        <f t="shared" si="106"/>
        <v>J33</v>
      </c>
      <c r="AY32" s="1039" t="b">
        <f t="shared" si="30"/>
        <v>0</v>
      </c>
      <c r="AZ32" s="856" t="b">
        <f t="shared" si="31"/>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2"/>
        <v/>
      </c>
      <c r="BR32" s="910"/>
      <c r="BS32" s="672"/>
      <c r="BT32" s="713"/>
      <c r="BU32" s="714"/>
      <c r="BV32" s="1625"/>
      <c r="BW32" s="713"/>
      <c r="BX32" s="714"/>
      <c r="BY32" s="715"/>
      <c r="BZ32" s="716"/>
      <c r="CA32" s="680" t="str">
        <f>IF(ISERROR(DE32),"",IF(DE32="","",IF(VLOOKUP(BS32,SectInfo!$B:$N,10,FALSE)="","","X")))</f>
        <v/>
      </c>
      <c r="CB32" s="738"/>
      <c r="CC32" s="1551" t="str">
        <f t="shared" si="33"/>
        <v/>
      </c>
      <c r="CD32" s="910"/>
      <c r="CE32" s="717"/>
      <c r="CF32" s="736"/>
      <c r="CG32" s="737"/>
      <c r="CH32" s="591" t="str">
        <f t="shared" si="34"/>
        <v/>
      </c>
      <c r="CI32" s="592" t="str">
        <f t="shared" si="35"/>
        <v/>
      </c>
      <c r="CJ32" s="593" t="str">
        <f t="shared" si="36"/>
        <v/>
      </c>
      <c r="CK32" s="594" t="str">
        <f t="shared" si="37"/>
        <v/>
      </c>
      <c r="CL32" s="595" t="str">
        <f t="shared" si="38"/>
        <v/>
      </c>
      <c r="CM32" s="596" t="str">
        <f t="shared" si="39"/>
        <v/>
      </c>
      <c r="CN32" s="597" t="str">
        <f t="shared" si="40"/>
        <v/>
      </c>
      <c r="CO32" s="598" t="str">
        <f t="shared" si="41"/>
        <v/>
      </c>
      <c r="CP32" s="615" t="str">
        <f t="shared" si="42"/>
        <v/>
      </c>
      <c r="CQ32" s="616" t="str">
        <f t="shared" si="43"/>
        <v/>
      </c>
      <c r="CR32" s="750">
        <f t="shared" si="44"/>
        <v>5</v>
      </c>
      <c r="CS32" s="751">
        <f t="shared" si="45"/>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6"/>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47"/>
        <v>0</v>
      </c>
      <c r="DO32" s="818">
        <f t="shared" si="48"/>
        <v>0</v>
      </c>
      <c r="DP32" s="822" t="str">
        <f t="shared" si="49"/>
        <v/>
      </c>
      <c r="DQ32" s="822" t="str">
        <f t="shared" si="50"/>
        <v/>
      </c>
      <c r="DR32" s="822" t="str">
        <f t="shared" si="51"/>
        <v/>
      </c>
      <c r="DS32" s="821">
        <f t="shared" si="52"/>
        <v>0</v>
      </c>
      <c r="DT32" s="821">
        <f t="shared" si="53"/>
        <v>0</v>
      </c>
      <c r="DU32" s="821" t="str">
        <f t="shared" si="54"/>
        <v/>
      </c>
      <c r="DV32" s="822" t="str">
        <f t="shared" si="55"/>
        <v/>
      </c>
      <c r="DW32" s="856" t="str">
        <f t="shared" si="56"/>
        <v/>
      </c>
      <c r="DX32" s="1006">
        <f t="shared" si="57"/>
        <v>0</v>
      </c>
      <c r="DY32" s="822">
        <f t="shared" si="58"/>
        <v>0</v>
      </c>
      <c r="DZ32" s="821">
        <f t="shared" si="59"/>
        <v>0</v>
      </c>
      <c r="EA32" s="821" t="str">
        <f t="shared" si="60"/>
        <v/>
      </c>
      <c r="EB32" s="822" t="str">
        <f t="shared" si="61"/>
        <v/>
      </c>
      <c r="EC32" s="856" t="str">
        <f t="shared" si="62"/>
        <v/>
      </c>
      <c r="ED32" s="1006">
        <f t="shared" si="63"/>
        <v>0</v>
      </c>
      <c r="EE32" s="1293" t="str">
        <f t="shared" si="64"/>
        <v/>
      </c>
      <c r="EF32" s="1293" t="str">
        <f t="shared" si="65"/>
        <v/>
      </c>
      <c r="EG32" s="1293" t="str">
        <f t="shared" si="66"/>
        <v/>
      </c>
      <c r="EH32" s="856" t="str">
        <f t="shared" si="67"/>
        <v>ERR</v>
      </c>
      <c r="EI32" s="856" t="str">
        <f t="shared" si="68"/>
        <v>ERR</v>
      </c>
      <c r="EJ32" s="822" t="str">
        <f t="shared" si="69"/>
        <v/>
      </c>
      <c r="EK32" s="822" t="str">
        <f t="shared" si="69"/>
        <v/>
      </c>
      <c r="EL32" s="1293" t="str">
        <f t="shared" si="70"/>
        <v/>
      </c>
      <c r="EM32" s="822" t="str">
        <f t="shared" si="71"/>
        <v/>
      </c>
      <c r="EN32" s="822" t="str">
        <f t="shared" si="72"/>
        <v/>
      </c>
      <c r="EO32" s="856" t="str">
        <f t="shared" si="73"/>
        <v>ERR</v>
      </c>
      <c r="EP32" s="856" t="str">
        <f t="shared" si="74"/>
        <v>ERR</v>
      </c>
      <c r="EQ32" s="1293" t="str">
        <f t="shared" si="75"/>
        <v/>
      </c>
      <c r="ER32" s="822" t="str">
        <f t="shared" si="75"/>
        <v/>
      </c>
      <c r="ES32" s="822" t="str">
        <f t="shared" si="76"/>
        <v/>
      </c>
      <c r="ET32" s="822" t="str">
        <f t="shared" si="77"/>
        <v/>
      </c>
      <c r="EU32" s="829">
        <f t="shared" si="78"/>
        <v>4</v>
      </c>
      <c r="EV32" s="824" t="str">
        <f t="shared" si="79"/>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0"/>
        <v/>
      </c>
      <c r="FA32" s="829" t="str">
        <f>IF(AND(DE32="G", ISBLANK(BW32), ISBLANK(BX32)),VLOOKUP(MIN(BT32:BU32),TblJoistSize!$M$3:$N$10,2),IF(OR(DE32="B", DE32="G"),MIN(BW32:BX32),""))</f>
        <v/>
      </c>
      <c r="FB32" s="829" t="str">
        <f>IF(AND(DE32="G", ISBLANK(BW32), ISBLANK(BX32)),VLOOKUP(MAX(BT32:BU32),TblJoistSize!$M$3:$N$10,2),IF(OR(DE32="B", DE32="G"),MAX(BW32:BX32),""))</f>
        <v/>
      </c>
      <c r="FC32" s="829" t="str">
        <f t="shared" si="81"/>
        <v/>
      </c>
      <c r="FD32" s="821">
        <f t="shared" si="107"/>
        <v>0</v>
      </c>
      <c r="FE32" s="821">
        <f t="shared" si="82"/>
        <v>0</v>
      </c>
      <c r="FF32" s="821">
        <f t="shared" si="83"/>
        <v>0</v>
      </c>
      <c r="FG32" s="821" t="str">
        <f t="shared" si="84"/>
        <v/>
      </c>
      <c r="FH32" s="822" t="str">
        <f t="shared" si="85"/>
        <v/>
      </c>
      <c r="FI32" s="821">
        <f t="shared" si="108"/>
        <v>0</v>
      </c>
      <c r="FJ32" s="821">
        <f t="shared" si="86"/>
        <v>0</v>
      </c>
      <c r="FK32" s="821">
        <f t="shared" si="87"/>
        <v>0</v>
      </c>
      <c r="FL32" s="821" t="str">
        <f t="shared" si="88"/>
        <v/>
      </c>
      <c r="FM32" s="822" t="str">
        <f t="shared" si="89"/>
        <v/>
      </c>
      <c r="FN32" s="822" t="e">
        <f t="shared" si="90"/>
        <v>#VALUE!</v>
      </c>
      <c r="FO32" s="940" t="e">
        <f t="shared" si="91"/>
        <v>#VALUE!</v>
      </c>
      <c r="FP32" s="940" t="e">
        <f t="shared" si="92"/>
        <v>#VALUE!</v>
      </c>
      <c r="FQ32" s="830" t="e">
        <f t="shared" si="93"/>
        <v>#VALUE!</v>
      </c>
      <c r="FR32" s="831" t="e">
        <f t="shared" si="94"/>
        <v>#VALUE!</v>
      </c>
      <c r="FS32" s="832" t="str">
        <f t="shared" si="95"/>
        <v/>
      </c>
      <c r="FT32" s="833" t="str">
        <f t="shared" si="96"/>
        <v/>
      </c>
      <c r="FU32" s="870">
        <f t="shared" si="97"/>
        <v>0</v>
      </c>
      <c r="FV32" s="871">
        <f t="shared" si="98"/>
        <v>0</v>
      </c>
      <c r="GA32" s="1791">
        <v>50</v>
      </c>
      <c r="GB32" s="1792">
        <v>0</v>
      </c>
      <c r="GC32" s="1793">
        <v>-0.25</v>
      </c>
      <c r="GD32" s="1794">
        <v>-0.25</v>
      </c>
      <c r="GE32" s="1795">
        <f t="shared" si="99"/>
        <v>0</v>
      </c>
      <c r="GF32" s="600" t="str">
        <f t="shared" si="100"/>
        <v>J33</v>
      </c>
      <c r="GG32" s="1130">
        <v>0</v>
      </c>
      <c r="GH32" s="1131">
        <v>0</v>
      </c>
      <c r="GI32" s="1130"/>
      <c r="GJ32" s="1131"/>
      <c r="GK32" s="1638">
        <f t="shared" si="101"/>
        <v>599.5</v>
      </c>
      <c r="GL32" s="1636">
        <f t="shared" si="102"/>
        <v>599.5</v>
      </c>
      <c r="GM32" s="1637">
        <f>IF(ABS(GK32-GL32)&gt;='Job Info.'!$L$22,ABS(GK32-GL32),0)</f>
        <v>0</v>
      </c>
      <c r="HA32" s="1269" t="s">
        <v>1463</v>
      </c>
      <c r="HB32" s="1270">
        <v>2</v>
      </c>
      <c r="HC32" s="1270" t="s">
        <v>1592</v>
      </c>
      <c r="HD32" s="1271">
        <v>49</v>
      </c>
      <c r="HE32" s="1272">
        <v>11.5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2.25</v>
      </c>
      <c r="HX32" s="1272">
        <v>4</v>
      </c>
      <c r="HY32" s="1272" t="s">
        <v>116</v>
      </c>
      <c r="HZ32" s="1272" t="s">
        <v>116</v>
      </c>
      <c r="IA32" s="1272" t="s">
        <v>1673</v>
      </c>
      <c r="IB32" s="1272"/>
      <c r="IC32" s="1272"/>
      <c r="ID32" s="1272"/>
      <c r="IE32" s="1272"/>
      <c r="IF32" s="1274"/>
    </row>
    <row r="33" spans="1:240" ht="12.6" customHeight="1" x14ac:dyDescent="0.25">
      <c r="A33" s="1448" t="s">
        <v>1464</v>
      </c>
      <c r="B33" s="1681">
        <v>2</v>
      </c>
      <c r="C33" s="1449" t="s">
        <v>1592</v>
      </c>
      <c r="D33" s="1705">
        <v>49</v>
      </c>
      <c r="E33" s="1706">
        <v>11.5</v>
      </c>
      <c r="F33" s="1714" t="str">
        <f t="shared" si="1"/>
        <v/>
      </c>
      <c r="G33" s="1709" t="str">
        <f t="shared" si="2"/>
        <v/>
      </c>
      <c r="H33" s="1779" t="str">
        <f t="shared" si="3"/>
        <v/>
      </c>
      <c r="I33" s="1705" t="str">
        <f t="shared" si="4"/>
        <v/>
      </c>
      <c r="J33" s="1709" t="str">
        <f t="shared" si="5"/>
        <v/>
      </c>
      <c r="K33" s="1796" t="str">
        <f t="shared" si="6"/>
        <v/>
      </c>
      <c r="L33" s="1712">
        <v>5</v>
      </c>
      <c r="M33" s="1713">
        <v>5</v>
      </c>
      <c r="N33" s="1708" t="str">
        <f t="shared" si="103"/>
        <v/>
      </c>
      <c r="O33" s="1709" t="str">
        <f t="shared" si="104"/>
        <v/>
      </c>
      <c r="P33" s="1710" t="str">
        <f t="shared" si="105"/>
        <v/>
      </c>
      <c r="Q33" s="1705" t="str">
        <f t="shared" si="7"/>
        <v/>
      </c>
      <c r="R33" s="1709" t="str">
        <f t="shared" si="8"/>
        <v/>
      </c>
      <c r="S33" s="1711" t="str">
        <f t="shared" si="9"/>
        <v/>
      </c>
      <c r="T33" s="1714">
        <v>0</v>
      </c>
      <c r="U33" s="1709">
        <v>2.25</v>
      </c>
      <c r="V33" s="1705">
        <v>0</v>
      </c>
      <c r="W33" s="1709">
        <v>2.25</v>
      </c>
      <c r="X33" s="1713">
        <v>4</v>
      </c>
      <c r="Y33" s="1781" t="str">
        <f t="shared" si="10"/>
        <v/>
      </c>
      <c r="Z33" s="1782" t="str">
        <f t="shared" si="11"/>
        <v/>
      </c>
      <c r="AA33" s="1783" t="s">
        <v>1738</v>
      </c>
      <c r="AB33" s="1413"/>
      <c r="AC33" s="964" t="b">
        <v>0</v>
      </c>
      <c r="AD33" s="441">
        <f t="shared" si="12"/>
        <v>0</v>
      </c>
      <c r="AE33" s="442">
        <f t="shared" si="13"/>
        <v>2</v>
      </c>
      <c r="AF33" s="442">
        <f t="shared" si="14"/>
        <v>0</v>
      </c>
      <c r="AG33" s="442">
        <f t="shared" si="15"/>
        <v>0</v>
      </c>
      <c r="AH33" s="443">
        <f t="shared" si="16"/>
        <v>0</v>
      </c>
      <c r="AI33" s="444" t="b">
        <v>0</v>
      </c>
      <c r="AJ33" s="238">
        <f t="shared" si="17"/>
        <v>32</v>
      </c>
      <c r="AK33" s="830" t="str">
        <f t="shared" si="18"/>
        <v>LH</v>
      </c>
      <c r="AL33" s="945" t="str">
        <f t="shared" si="19"/>
        <v/>
      </c>
      <c r="AM33" s="830">
        <f t="shared" si="20"/>
        <v>305</v>
      </c>
      <c r="AN33" s="830">
        <f t="shared" si="21"/>
        <v>180</v>
      </c>
      <c r="AO33" s="830" t="str">
        <f t="shared" si="22"/>
        <v/>
      </c>
      <c r="AP33" s="830" t="b">
        <f>IF(ISERROR(AJ33),FALSE,IF(OR(AJ33=0,ISERROR(AL33),ISERROR(AM33),ISERROR(AN33),ISERROR(AO33)),FALSE,IF(AL33&lt;&gt;"",IF(ISERROR(VLOOKUP(SUBSTITUTE(SUBSTITUTE(C33,"R",""),"A",""),TblJoistSize!$A:$A,1,FALSE)),FALSE,TRUE),TRUE)))</f>
        <v>1</v>
      </c>
      <c r="AQ33" s="1038">
        <f t="shared" si="23"/>
        <v>6</v>
      </c>
      <c r="AR33" s="945" t="b">
        <f t="shared" si="24"/>
        <v>1</v>
      </c>
      <c r="AS33" s="1038">
        <f t="shared" si="25"/>
        <v>6</v>
      </c>
      <c r="AT33" s="945" t="b">
        <f t="shared" si="26"/>
        <v>1</v>
      </c>
      <c r="AU33" s="946" t="str">
        <f t="shared" si="27"/>
        <v>LH</v>
      </c>
      <c r="AV33" s="830" t="str">
        <f t="shared" si="28"/>
        <v/>
      </c>
      <c r="AW33" s="830" t="str">
        <f t="shared" si="29"/>
        <v>LH</v>
      </c>
      <c r="AX33" s="830" t="str">
        <f t="shared" si="106"/>
        <v>J34</v>
      </c>
      <c r="AY33" s="1039" t="b">
        <f t="shared" si="30"/>
        <v>0</v>
      </c>
      <c r="AZ33" s="856" t="b">
        <f t="shared" si="31"/>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2"/>
        <v/>
      </c>
      <c r="BR33" s="910"/>
      <c r="BS33" s="672"/>
      <c r="BT33" s="713"/>
      <c r="BU33" s="714"/>
      <c r="BV33" s="1625"/>
      <c r="BW33" s="713"/>
      <c r="BX33" s="714"/>
      <c r="BY33" s="715"/>
      <c r="BZ33" s="716"/>
      <c r="CA33" s="680" t="str">
        <f>IF(ISERROR(DE33),"",IF(DE33="","",IF(VLOOKUP(BS33,SectInfo!$B:$N,10,FALSE)="","","X")))</f>
        <v/>
      </c>
      <c r="CB33" s="738"/>
      <c r="CC33" s="1551" t="str">
        <f t="shared" si="33"/>
        <v/>
      </c>
      <c r="CD33" s="910"/>
      <c r="CE33" s="717"/>
      <c r="CF33" s="736"/>
      <c r="CG33" s="737"/>
      <c r="CH33" s="591" t="str">
        <f t="shared" si="34"/>
        <v/>
      </c>
      <c r="CI33" s="592" t="str">
        <f t="shared" si="35"/>
        <v/>
      </c>
      <c r="CJ33" s="593" t="str">
        <f t="shared" si="36"/>
        <v/>
      </c>
      <c r="CK33" s="594" t="str">
        <f t="shared" si="37"/>
        <v/>
      </c>
      <c r="CL33" s="595" t="str">
        <f t="shared" si="38"/>
        <v/>
      </c>
      <c r="CM33" s="596" t="str">
        <f t="shared" si="39"/>
        <v/>
      </c>
      <c r="CN33" s="597" t="str">
        <f t="shared" si="40"/>
        <v/>
      </c>
      <c r="CO33" s="598" t="str">
        <f t="shared" si="41"/>
        <v/>
      </c>
      <c r="CP33" s="615" t="str">
        <f t="shared" si="42"/>
        <v/>
      </c>
      <c r="CQ33" s="616" t="str">
        <f t="shared" si="43"/>
        <v/>
      </c>
      <c r="CR33" s="750">
        <f t="shared" si="44"/>
        <v>5</v>
      </c>
      <c r="CS33" s="751">
        <f t="shared" si="45"/>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6"/>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47"/>
        <v>0</v>
      </c>
      <c r="DO33" s="818">
        <f t="shared" si="48"/>
        <v>0</v>
      </c>
      <c r="DP33" s="822" t="str">
        <f t="shared" si="49"/>
        <v/>
      </c>
      <c r="DQ33" s="822" t="str">
        <f t="shared" si="50"/>
        <v/>
      </c>
      <c r="DR33" s="822" t="str">
        <f t="shared" si="51"/>
        <v/>
      </c>
      <c r="DS33" s="821">
        <f t="shared" si="52"/>
        <v>0</v>
      </c>
      <c r="DT33" s="821">
        <f t="shared" si="53"/>
        <v>0</v>
      </c>
      <c r="DU33" s="821" t="str">
        <f t="shared" si="54"/>
        <v/>
      </c>
      <c r="DV33" s="822" t="str">
        <f t="shared" si="55"/>
        <v/>
      </c>
      <c r="DW33" s="856" t="str">
        <f t="shared" si="56"/>
        <v/>
      </c>
      <c r="DX33" s="1006">
        <f t="shared" si="57"/>
        <v>0</v>
      </c>
      <c r="DY33" s="822">
        <f t="shared" si="58"/>
        <v>0</v>
      </c>
      <c r="DZ33" s="821">
        <f t="shared" si="59"/>
        <v>0</v>
      </c>
      <c r="EA33" s="821" t="str">
        <f t="shared" si="60"/>
        <v/>
      </c>
      <c r="EB33" s="822" t="str">
        <f t="shared" si="61"/>
        <v/>
      </c>
      <c r="EC33" s="856" t="str">
        <f t="shared" si="62"/>
        <v/>
      </c>
      <c r="ED33" s="1006">
        <f t="shared" si="63"/>
        <v>0</v>
      </c>
      <c r="EE33" s="1293" t="str">
        <f t="shared" si="64"/>
        <v/>
      </c>
      <c r="EF33" s="1293" t="str">
        <f t="shared" si="65"/>
        <v/>
      </c>
      <c r="EG33" s="1293" t="str">
        <f t="shared" si="66"/>
        <v/>
      </c>
      <c r="EH33" s="856" t="str">
        <f t="shared" si="67"/>
        <v>ERR</v>
      </c>
      <c r="EI33" s="856" t="str">
        <f t="shared" si="68"/>
        <v>ERR</v>
      </c>
      <c r="EJ33" s="822" t="str">
        <f t="shared" si="69"/>
        <v/>
      </c>
      <c r="EK33" s="822" t="str">
        <f t="shared" si="69"/>
        <v/>
      </c>
      <c r="EL33" s="1293" t="str">
        <f t="shared" si="70"/>
        <v/>
      </c>
      <c r="EM33" s="822" t="str">
        <f t="shared" si="71"/>
        <v/>
      </c>
      <c r="EN33" s="822" t="str">
        <f t="shared" si="72"/>
        <v/>
      </c>
      <c r="EO33" s="856" t="str">
        <f t="shared" si="73"/>
        <v>ERR</v>
      </c>
      <c r="EP33" s="856" t="str">
        <f t="shared" si="74"/>
        <v>ERR</v>
      </c>
      <c r="EQ33" s="1293" t="str">
        <f t="shared" si="75"/>
        <v/>
      </c>
      <c r="ER33" s="822" t="str">
        <f t="shared" si="75"/>
        <v/>
      </c>
      <c r="ES33" s="822" t="str">
        <f t="shared" si="76"/>
        <v/>
      </c>
      <c r="ET33" s="822" t="str">
        <f t="shared" si="77"/>
        <v/>
      </c>
      <c r="EU33" s="829">
        <f t="shared" si="78"/>
        <v>4</v>
      </c>
      <c r="EV33" s="824" t="str">
        <f t="shared" si="79"/>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0"/>
        <v/>
      </c>
      <c r="FA33" s="829" t="str">
        <f>IF(AND(DE33="G", ISBLANK(BW33), ISBLANK(BX33)),VLOOKUP(MIN(BT33:BU33),TblJoistSize!$M$3:$N$10,2),IF(OR(DE33="B", DE33="G"),MIN(BW33:BX33),""))</f>
        <v/>
      </c>
      <c r="FB33" s="829" t="str">
        <f>IF(AND(DE33="G", ISBLANK(BW33), ISBLANK(BX33)),VLOOKUP(MAX(BT33:BU33),TblJoistSize!$M$3:$N$10,2),IF(OR(DE33="B", DE33="G"),MAX(BW33:BX33),""))</f>
        <v/>
      </c>
      <c r="FC33" s="829" t="str">
        <f t="shared" si="81"/>
        <v/>
      </c>
      <c r="FD33" s="821">
        <f t="shared" si="107"/>
        <v>0</v>
      </c>
      <c r="FE33" s="821">
        <f t="shared" si="82"/>
        <v>0</v>
      </c>
      <c r="FF33" s="821">
        <f t="shared" si="83"/>
        <v>0</v>
      </c>
      <c r="FG33" s="821" t="str">
        <f t="shared" si="84"/>
        <v/>
      </c>
      <c r="FH33" s="822" t="str">
        <f t="shared" si="85"/>
        <v/>
      </c>
      <c r="FI33" s="821">
        <f t="shared" si="108"/>
        <v>0</v>
      </c>
      <c r="FJ33" s="821">
        <f t="shared" si="86"/>
        <v>0</v>
      </c>
      <c r="FK33" s="821">
        <f t="shared" si="87"/>
        <v>0</v>
      </c>
      <c r="FL33" s="821" t="str">
        <f t="shared" si="88"/>
        <v/>
      </c>
      <c r="FM33" s="822" t="str">
        <f t="shared" si="89"/>
        <v/>
      </c>
      <c r="FN33" s="822" t="e">
        <f t="shared" si="90"/>
        <v>#VALUE!</v>
      </c>
      <c r="FO33" s="940" t="e">
        <f t="shared" si="91"/>
        <v>#VALUE!</v>
      </c>
      <c r="FP33" s="940" t="e">
        <f t="shared" si="92"/>
        <v>#VALUE!</v>
      </c>
      <c r="FQ33" s="830" t="e">
        <f t="shared" si="93"/>
        <v>#VALUE!</v>
      </c>
      <c r="FR33" s="831" t="e">
        <f t="shared" si="94"/>
        <v>#VALUE!</v>
      </c>
      <c r="FS33" s="832" t="str">
        <f t="shared" si="95"/>
        <v/>
      </c>
      <c r="FT33" s="833" t="str">
        <f t="shared" si="96"/>
        <v/>
      </c>
      <c r="FU33" s="870">
        <f t="shared" si="97"/>
        <v>0</v>
      </c>
      <c r="FV33" s="871">
        <f t="shared" si="98"/>
        <v>0</v>
      </c>
      <c r="GA33" s="1791">
        <v>50</v>
      </c>
      <c r="GB33" s="1792">
        <v>0</v>
      </c>
      <c r="GC33" s="1793">
        <v>-0.25</v>
      </c>
      <c r="GD33" s="1794">
        <v>-0.25</v>
      </c>
      <c r="GE33" s="1795">
        <f t="shared" si="99"/>
        <v>0</v>
      </c>
      <c r="GF33" s="600" t="str">
        <f t="shared" si="100"/>
        <v>J34</v>
      </c>
      <c r="GG33" s="1130">
        <v>0</v>
      </c>
      <c r="GH33" s="1131">
        <v>0</v>
      </c>
      <c r="GI33" s="1130"/>
      <c r="GJ33" s="1131"/>
      <c r="GK33" s="1638">
        <f t="shared" si="101"/>
        <v>599.5</v>
      </c>
      <c r="GL33" s="1636">
        <f t="shared" si="102"/>
        <v>599.5</v>
      </c>
      <c r="GM33" s="1637">
        <f>IF(ABS(GK33-GL33)&gt;='Job Info.'!$L$22,ABS(GK33-GL33),0)</f>
        <v>0</v>
      </c>
      <c r="HA33" s="1269" t="s">
        <v>1464</v>
      </c>
      <c r="HB33" s="1270">
        <v>2</v>
      </c>
      <c r="HC33" s="1270" t="s">
        <v>1592</v>
      </c>
      <c r="HD33" s="1271">
        <v>49</v>
      </c>
      <c r="HE33" s="1272">
        <v>11.5</v>
      </c>
      <c r="HF33" s="1270" t="s">
        <v>116</v>
      </c>
      <c r="HG33" s="1270" t="s">
        <v>116</v>
      </c>
      <c r="HH33" s="1270" t="s">
        <v>116</v>
      </c>
      <c r="HI33" s="1273" t="s">
        <v>116</v>
      </c>
      <c r="HJ33" s="1270" t="s">
        <v>116</v>
      </c>
      <c r="HK33" s="1270" t="s">
        <v>116</v>
      </c>
      <c r="HL33" s="1270">
        <v>5</v>
      </c>
      <c r="HM33" s="1270">
        <v>5</v>
      </c>
      <c r="HN33" s="1270" t="s">
        <v>116</v>
      </c>
      <c r="HO33" s="1270" t="s">
        <v>116</v>
      </c>
      <c r="HP33" s="1270" t="s">
        <v>116</v>
      </c>
      <c r="HQ33" s="1273" t="s">
        <v>116</v>
      </c>
      <c r="HR33" s="1270" t="s">
        <v>116</v>
      </c>
      <c r="HS33" s="1270" t="s">
        <v>116</v>
      </c>
      <c r="HT33" s="1270">
        <v>0</v>
      </c>
      <c r="HU33" s="1270">
        <v>2.25</v>
      </c>
      <c r="HV33" s="1270">
        <v>0</v>
      </c>
      <c r="HW33" s="1272">
        <v>2.25</v>
      </c>
      <c r="HX33" s="1272">
        <v>4</v>
      </c>
      <c r="HY33" s="1272" t="s">
        <v>116</v>
      </c>
      <c r="HZ33" s="1272" t="s">
        <v>116</v>
      </c>
      <c r="IA33" s="1272" t="s">
        <v>1674</v>
      </c>
      <c r="IB33" s="1272"/>
      <c r="IC33" s="1272"/>
      <c r="ID33" s="1272"/>
      <c r="IE33" s="1272"/>
      <c r="IF33" s="1274"/>
    </row>
    <row r="34" spans="1:240" ht="12.6" customHeight="1" x14ac:dyDescent="0.25">
      <c r="A34" s="1448" t="s">
        <v>1465</v>
      </c>
      <c r="B34" s="1681">
        <v>2</v>
      </c>
      <c r="C34" s="1449" t="s">
        <v>1592</v>
      </c>
      <c r="D34" s="1705">
        <v>49</v>
      </c>
      <c r="E34" s="1706">
        <v>11.5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103"/>
        <v/>
      </c>
      <c r="O34" s="1709" t="str">
        <f t="shared" si="104"/>
        <v/>
      </c>
      <c r="P34" s="1710" t="str">
        <f t="shared" si="105"/>
        <v/>
      </c>
      <c r="Q34" s="1705" t="str">
        <f t="shared" si="7"/>
        <v/>
      </c>
      <c r="R34" s="1709" t="str">
        <f t="shared" si="8"/>
        <v/>
      </c>
      <c r="S34" s="1711" t="str">
        <f t="shared" si="9"/>
        <v/>
      </c>
      <c r="T34" s="1714">
        <v>0</v>
      </c>
      <c r="U34" s="1709">
        <v>2.25</v>
      </c>
      <c r="V34" s="1705">
        <v>0</v>
      </c>
      <c r="W34" s="1709">
        <v>2.25</v>
      </c>
      <c r="X34" s="1713">
        <v>4</v>
      </c>
      <c r="Y34" s="1781" t="str">
        <f t="shared" si="10"/>
        <v/>
      </c>
      <c r="Z34" s="1782" t="str">
        <f t="shared" si="11"/>
        <v/>
      </c>
      <c r="AA34" s="1783" t="s">
        <v>1739</v>
      </c>
      <c r="AB34" s="1413"/>
      <c r="AC34" s="964" t="b">
        <v>0</v>
      </c>
      <c r="AD34" s="441">
        <f t="shared" si="12"/>
        <v>0</v>
      </c>
      <c r="AE34" s="442">
        <f t="shared" si="13"/>
        <v>2</v>
      </c>
      <c r="AF34" s="442">
        <f t="shared" si="14"/>
        <v>0</v>
      </c>
      <c r="AG34" s="442">
        <f t="shared" si="15"/>
        <v>0</v>
      </c>
      <c r="AH34" s="443">
        <f t="shared" si="16"/>
        <v>0</v>
      </c>
      <c r="AI34" s="444" t="b">
        <v>0</v>
      </c>
      <c r="AJ34" s="238">
        <f t="shared" si="17"/>
        <v>32</v>
      </c>
      <c r="AK34" s="830" t="str">
        <f t="shared" si="18"/>
        <v>LH</v>
      </c>
      <c r="AL34" s="945" t="str">
        <f t="shared" si="19"/>
        <v/>
      </c>
      <c r="AM34" s="830">
        <f t="shared" si="20"/>
        <v>305</v>
      </c>
      <c r="AN34" s="830">
        <f t="shared" si="21"/>
        <v>180</v>
      </c>
      <c r="AO34" s="830" t="str">
        <f t="shared" si="22"/>
        <v/>
      </c>
      <c r="AP34" s="830" t="b">
        <f>IF(ISERROR(AJ34),FALSE,IF(OR(AJ34=0,ISERROR(AL34),ISERROR(AM34),ISERROR(AN34),ISERROR(AO34)),FALSE,IF(AL34&lt;&gt;"",IF(ISERROR(VLOOKUP(SUBSTITUTE(SUBSTITUTE(C34,"R",""),"A",""),TblJoistSize!$A:$A,1,FALSE)),FALSE,TRUE),TRUE)))</f>
        <v>1</v>
      </c>
      <c r="AQ34" s="1038">
        <f t="shared" si="23"/>
        <v>6</v>
      </c>
      <c r="AR34" s="945" t="b">
        <f t="shared" si="24"/>
        <v>1</v>
      </c>
      <c r="AS34" s="1038">
        <f t="shared" si="25"/>
        <v>6</v>
      </c>
      <c r="AT34" s="945" t="b">
        <f t="shared" si="26"/>
        <v>1</v>
      </c>
      <c r="AU34" s="946" t="str">
        <f t="shared" si="27"/>
        <v>LH</v>
      </c>
      <c r="AV34" s="830" t="str">
        <f t="shared" si="28"/>
        <v/>
      </c>
      <c r="AW34" s="830" t="str">
        <f t="shared" si="29"/>
        <v>LH</v>
      </c>
      <c r="AX34" s="830" t="str">
        <f t="shared" si="106"/>
        <v>J35</v>
      </c>
      <c r="AY34" s="1039" t="b">
        <f t="shared" si="30"/>
        <v>0</v>
      </c>
      <c r="AZ34" s="856" t="b">
        <f t="shared" si="31"/>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2"/>
        <v/>
      </c>
      <c r="BR34" s="910"/>
      <c r="BS34" s="672"/>
      <c r="BT34" s="713"/>
      <c r="BU34" s="714"/>
      <c r="BV34" s="1625"/>
      <c r="BW34" s="713"/>
      <c r="BX34" s="714"/>
      <c r="BY34" s="715"/>
      <c r="BZ34" s="716"/>
      <c r="CA34" s="680" t="str">
        <f>IF(ISERROR(DE34),"",IF(DE34="","",IF(VLOOKUP(BS34,SectInfo!$B:$N,10,FALSE)="","","X")))</f>
        <v/>
      </c>
      <c r="CB34" s="738"/>
      <c r="CC34" s="1551" t="str">
        <f t="shared" si="33"/>
        <v/>
      </c>
      <c r="CD34" s="910"/>
      <c r="CE34" s="717"/>
      <c r="CF34" s="736"/>
      <c r="CG34" s="737"/>
      <c r="CH34" s="591" t="str">
        <f t="shared" si="34"/>
        <v/>
      </c>
      <c r="CI34" s="592" t="str">
        <f t="shared" si="35"/>
        <v/>
      </c>
      <c r="CJ34" s="593" t="str">
        <f t="shared" si="36"/>
        <v/>
      </c>
      <c r="CK34" s="594" t="str">
        <f t="shared" si="37"/>
        <v/>
      </c>
      <c r="CL34" s="595" t="str">
        <f t="shared" si="38"/>
        <v/>
      </c>
      <c r="CM34" s="596" t="str">
        <f t="shared" si="39"/>
        <v/>
      </c>
      <c r="CN34" s="597" t="str">
        <f t="shared" si="40"/>
        <v/>
      </c>
      <c r="CO34" s="598" t="str">
        <f t="shared" si="41"/>
        <v/>
      </c>
      <c r="CP34" s="615" t="str">
        <f t="shared" si="42"/>
        <v/>
      </c>
      <c r="CQ34" s="616" t="str">
        <f t="shared" si="43"/>
        <v/>
      </c>
      <c r="CR34" s="750">
        <f t="shared" si="44"/>
        <v>5</v>
      </c>
      <c r="CS34" s="751">
        <f t="shared" si="45"/>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6"/>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47"/>
        <v>0</v>
      </c>
      <c r="DO34" s="818">
        <f t="shared" si="48"/>
        <v>0</v>
      </c>
      <c r="DP34" s="822" t="str">
        <f t="shared" si="49"/>
        <v/>
      </c>
      <c r="DQ34" s="822" t="str">
        <f t="shared" si="50"/>
        <v/>
      </c>
      <c r="DR34" s="822" t="str">
        <f t="shared" si="51"/>
        <v/>
      </c>
      <c r="DS34" s="821">
        <f t="shared" si="52"/>
        <v>0</v>
      </c>
      <c r="DT34" s="821">
        <f t="shared" si="53"/>
        <v>0</v>
      </c>
      <c r="DU34" s="821" t="str">
        <f t="shared" si="54"/>
        <v/>
      </c>
      <c r="DV34" s="822" t="str">
        <f t="shared" si="55"/>
        <v/>
      </c>
      <c r="DW34" s="856" t="str">
        <f t="shared" si="56"/>
        <v/>
      </c>
      <c r="DX34" s="1006">
        <f t="shared" si="57"/>
        <v>0</v>
      </c>
      <c r="DY34" s="822">
        <f t="shared" si="58"/>
        <v>0</v>
      </c>
      <c r="DZ34" s="821">
        <f t="shared" si="59"/>
        <v>0</v>
      </c>
      <c r="EA34" s="821" t="str">
        <f t="shared" si="60"/>
        <v/>
      </c>
      <c r="EB34" s="822" t="str">
        <f t="shared" si="61"/>
        <v/>
      </c>
      <c r="EC34" s="856" t="str">
        <f t="shared" si="62"/>
        <v/>
      </c>
      <c r="ED34" s="1006">
        <f t="shared" si="63"/>
        <v>0</v>
      </c>
      <c r="EE34" s="1293" t="str">
        <f t="shared" si="64"/>
        <v/>
      </c>
      <c r="EF34" s="1293" t="str">
        <f t="shared" si="65"/>
        <v/>
      </c>
      <c r="EG34" s="1293" t="str">
        <f t="shared" si="66"/>
        <v/>
      </c>
      <c r="EH34" s="856" t="str">
        <f t="shared" si="67"/>
        <v>ERR</v>
      </c>
      <c r="EI34" s="856" t="str">
        <f t="shared" si="68"/>
        <v>ERR</v>
      </c>
      <c r="EJ34" s="822" t="str">
        <f t="shared" si="69"/>
        <v/>
      </c>
      <c r="EK34" s="822" t="str">
        <f t="shared" si="69"/>
        <v/>
      </c>
      <c r="EL34" s="1293" t="str">
        <f t="shared" si="70"/>
        <v/>
      </c>
      <c r="EM34" s="822" t="str">
        <f t="shared" si="71"/>
        <v/>
      </c>
      <c r="EN34" s="822" t="str">
        <f t="shared" si="72"/>
        <v/>
      </c>
      <c r="EO34" s="856" t="str">
        <f t="shared" si="73"/>
        <v>ERR</v>
      </c>
      <c r="EP34" s="856" t="str">
        <f t="shared" si="74"/>
        <v>ERR</v>
      </c>
      <c r="EQ34" s="1293" t="str">
        <f t="shared" si="75"/>
        <v/>
      </c>
      <c r="ER34" s="822" t="str">
        <f t="shared" si="75"/>
        <v/>
      </c>
      <c r="ES34" s="822" t="str">
        <f t="shared" si="76"/>
        <v/>
      </c>
      <c r="ET34" s="822" t="str">
        <f t="shared" si="77"/>
        <v/>
      </c>
      <c r="EU34" s="829">
        <f t="shared" si="78"/>
        <v>4</v>
      </c>
      <c r="EV34" s="824" t="str">
        <f t="shared" si="79"/>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0"/>
        <v/>
      </c>
      <c r="FA34" s="829" t="str">
        <f>IF(AND(DE34="G", ISBLANK(BW34), ISBLANK(BX34)),VLOOKUP(MIN(BT34:BU34),TblJoistSize!$M$3:$N$10,2),IF(OR(DE34="B", DE34="G"),MIN(BW34:BX34),""))</f>
        <v/>
      </c>
      <c r="FB34" s="829" t="str">
        <f>IF(AND(DE34="G", ISBLANK(BW34), ISBLANK(BX34)),VLOOKUP(MAX(BT34:BU34),TblJoistSize!$M$3:$N$10,2),IF(OR(DE34="B", DE34="G"),MAX(BW34:BX34),""))</f>
        <v/>
      </c>
      <c r="FC34" s="829" t="str">
        <f t="shared" si="81"/>
        <v/>
      </c>
      <c r="FD34" s="821">
        <f t="shared" si="107"/>
        <v>0</v>
      </c>
      <c r="FE34" s="821">
        <f t="shared" si="82"/>
        <v>0</v>
      </c>
      <c r="FF34" s="821">
        <f t="shared" si="83"/>
        <v>0</v>
      </c>
      <c r="FG34" s="821" t="str">
        <f t="shared" si="84"/>
        <v/>
      </c>
      <c r="FH34" s="822" t="str">
        <f t="shared" si="85"/>
        <v/>
      </c>
      <c r="FI34" s="821">
        <f t="shared" si="108"/>
        <v>0</v>
      </c>
      <c r="FJ34" s="821">
        <f t="shared" si="86"/>
        <v>0</v>
      </c>
      <c r="FK34" s="821">
        <f t="shared" si="87"/>
        <v>0</v>
      </c>
      <c r="FL34" s="821" t="str">
        <f t="shared" si="88"/>
        <v/>
      </c>
      <c r="FM34" s="822" t="str">
        <f t="shared" si="89"/>
        <v/>
      </c>
      <c r="FN34" s="822" t="e">
        <f t="shared" si="90"/>
        <v>#VALUE!</v>
      </c>
      <c r="FO34" s="940" t="e">
        <f t="shared" si="91"/>
        <v>#VALUE!</v>
      </c>
      <c r="FP34" s="940" t="e">
        <f t="shared" si="92"/>
        <v>#VALUE!</v>
      </c>
      <c r="FQ34" s="830" t="e">
        <f t="shared" si="93"/>
        <v>#VALUE!</v>
      </c>
      <c r="FR34" s="831" t="e">
        <f t="shared" si="94"/>
        <v>#VALUE!</v>
      </c>
      <c r="FS34" s="832" t="str">
        <f t="shared" si="95"/>
        <v/>
      </c>
      <c r="FT34" s="833" t="str">
        <f t="shared" si="96"/>
        <v/>
      </c>
      <c r="FU34" s="870">
        <f t="shared" si="97"/>
        <v>0</v>
      </c>
      <c r="FV34" s="871">
        <f t="shared" si="98"/>
        <v>0</v>
      </c>
      <c r="GA34" s="1791">
        <v>50</v>
      </c>
      <c r="GB34" s="1792">
        <v>0</v>
      </c>
      <c r="GC34" s="1793">
        <v>-0.25</v>
      </c>
      <c r="GD34" s="1794">
        <v>-0.25</v>
      </c>
      <c r="GE34" s="1795">
        <f t="shared" si="99"/>
        <v>0</v>
      </c>
      <c r="GF34" s="600" t="str">
        <f t="shared" si="100"/>
        <v>J35</v>
      </c>
      <c r="GG34" s="1130">
        <v>0</v>
      </c>
      <c r="GH34" s="1131">
        <v>0</v>
      </c>
      <c r="GI34" s="1130"/>
      <c r="GJ34" s="1131"/>
      <c r="GK34" s="1638">
        <f t="shared" si="101"/>
        <v>599.5</v>
      </c>
      <c r="GL34" s="1636">
        <f t="shared" si="102"/>
        <v>599.5</v>
      </c>
      <c r="GM34" s="1637">
        <f>IF(ABS(GK34-GL34)&gt;='Job Info.'!$L$22,ABS(GK34-GL34),0)</f>
        <v>0</v>
      </c>
      <c r="HA34" s="1269" t="s">
        <v>1465</v>
      </c>
      <c r="HB34" s="1270">
        <v>2</v>
      </c>
      <c r="HC34" s="1270" t="s">
        <v>1592</v>
      </c>
      <c r="HD34" s="1271">
        <v>49</v>
      </c>
      <c r="HE34" s="1272">
        <v>11.5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2.25</v>
      </c>
      <c r="HX34" s="1272">
        <v>4</v>
      </c>
      <c r="HY34" s="1272" t="s">
        <v>116</v>
      </c>
      <c r="HZ34" s="1272" t="s">
        <v>116</v>
      </c>
      <c r="IA34" s="1272" t="s">
        <v>1675</v>
      </c>
      <c r="IB34" s="1272"/>
      <c r="IC34" s="1272"/>
      <c r="ID34" s="1272"/>
      <c r="IE34" s="1272"/>
      <c r="IF34" s="1274"/>
    </row>
    <row r="35" spans="1:240" ht="12.6" customHeight="1" x14ac:dyDescent="0.25">
      <c r="A35" s="1448" t="s">
        <v>1466</v>
      </c>
      <c r="B35" s="1681">
        <v>2</v>
      </c>
      <c r="C35" s="1449" t="s">
        <v>1592</v>
      </c>
      <c r="D35" s="1705">
        <v>49</v>
      </c>
      <c r="E35" s="1706">
        <v>11.5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103"/>
        <v/>
      </c>
      <c r="O35" s="1709" t="str">
        <f t="shared" si="104"/>
        <v/>
      </c>
      <c r="P35" s="1710" t="str">
        <f t="shared" si="105"/>
        <v/>
      </c>
      <c r="Q35" s="1705" t="str">
        <f t="shared" si="7"/>
        <v/>
      </c>
      <c r="R35" s="1709" t="str">
        <f t="shared" si="8"/>
        <v/>
      </c>
      <c r="S35" s="1711" t="str">
        <f t="shared" si="9"/>
        <v/>
      </c>
      <c r="T35" s="1714">
        <v>0</v>
      </c>
      <c r="U35" s="1709">
        <v>2.25</v>
      </c>
      <c r="V35" s="1705">
        <v>0</v>
      </c>
      <c r="W35" s="1709">
        <v>2.25</v>
      </c>
      <c r="X35" s="1713">
        <v>4</v>
      </c>
      <c r="Y35" s="1781" t="str">
        <f t="shared" si="10"/>
        <v/>
      </c>
      <c r="Z35" s="1782" t="str">
        <f t="shared" si="11"/>
        <v/>
      </c>
      <c r="AA35" s="1783" t="s">
        <v>1740</v>
      </c>
      <c r="AB35" s="1413"/>
      <c r="AC35" s="964" t="b">
        <v>0</v>
      </c>
      <c r="AD35" s="441">
        <f t="shared" si="12"/>
        <v>0</v>
      </c>
      <c r="AE35" s="442">
        <f t="shared" si="13"/>
        <v>2</v>
      </c>
      <c r="AF35" s="442">
        <f t="shared" si="14"/>
        <v>0</v>
      </c>
      <c r="AG35" s="442">
        <f t="shared" si="15"/>
        <v>0</v>
      </c>
      <c r="AH35" s="443">
        <f t="shared" si="16"/>
        <v>0</v>
      </c>
      <c r="AI35" s="444" t="b">
        <v>0</v>
      </c>
      <c r="AJ35" s="238">
        <f t="shared" si="17"/>
        <v>32</v>
      </c>
      <c r="AK35" s="830" t="str">
        <f t="shared" si="18"/>
        <v>LH</v>
      </c>
      <c r="AL35" s="945" t="str">
        <f t="shared" si="19"/>
        <v/>
      </c>
      <c r="AM35" s="830">
        <f t="shared" si="20"/>
        <v>305</v>
      </c>
      <c r="AN35" s="830">
        <f t="shared" si="21"/>
        <v>180</v>
      </c>
      <c r="AO35" s="830" t="str">
        <f t="shared" si="22"/>
        <v/>
      </c>
      <c r="AP35" s="830" t="b">
        <f>IF(ISERROR(AJ35),FALSE,IF(OR(AJ35=0,ISERROR(AL35),ISERROR(AM35),ISERROR(AN35),ISERROR(AO35)),FALSE,IF(AL35&lt;&gt;"",IF(ISERROR(VLOOKUP(SUBSTITUTE(SUBSTITUTE(C35,"R",""),"A",""),TblJoistSize!$A:$A,1,FALSE)),FALSE,TRUE),TRUE)))</f>
        <v>1</v>
      </c>
      <c r="AQ35" s="1038">
        <f t="shared" si="23"/>
        <v>6</v>
      </c>
      <c r="AR35" s="945" t="b">
        <f t="shared" si="24"/>
        <v>1</v>
      </c>
      <c r="AS35" s="1038">
        <f t="shared" si="25"/>
        <v>6</v>
      </c>
      <c r="AT35" s="945" t="b">
        <f t="shared" si="26"/>
        <v>1</v>
      </c>
      <c r="AU35" s="946" t="str">
        <f t="shared" si="27"/>
        <v>LH</v>
      </c>
      <c r="AV35" s="830" t="str">
        <f t="shared" si="28"/>
        <v/>
      </c>
      <c r="AW35" s="830" t="str">
        <f t="shared" si="29"/>
        <v>LH</v>
      </c>
      <c r="AX35" s="830" t="str">
        <f t="shared" si="106"/>
        <v>J36</v>
      </c>
      <c r="AY35" s="1039" t="b">
        <f t="shared" si="30"/>
        <v>0</v>
      </c>
      <c r="AZ35" s="856" t="b">
        <f t="shared" si="31"/>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2"/>
        <v/>
      </c>
      <c r="BR35" s="910"/>
      <c r="BS35" s="672"/>
      <c r="BT35" s="713"/>
      <c r="BU35" s="714"/>
      <c r="BV35" s="1625"/>
      <c r="BW35" s="713"/>
      <c r="BX35" s="714"/>
      <c r="BY35" s="715"/>
      <c r="BZ35" s="716"/>
      <c r="CA35" s="680" t="str">
        <f>IF(ISERROR(DE35),"",IF(DE35="","",IF(VLOOKUP(BS35,SectInfo!$B:$N,10,FALSE)="","","X")))</f>
        <v/>
      </c>
      <c r="CB35" s="738"/>
      <c r="CC35" s="1551" t="str">
        <f t="shared" si="33"/>
        <v/>
      </c>
      <c r="CD35" s="910"/>
      <c r="CE35" s="717"/>
      <c r="CF35" s="736"/>
      <c r="CG35" s="737"/>
      <c r="CH35" s="591" t="str">
        <f t="shared" si="34"/>
        <v/>
      </c>
      <c r="CI35" s="592" t="str">
        <f t="shared" si="35"/>
        <v/>
      </c>
      <c r="CJ35" s="593" t="str">
        <f t="shared" si="36"/>
        <v/>
      </c>
      <c r="CK35" s="594" t="str">
        <f t="shared" si="37"/>
        <v/>
      </c>
      <c r="CL35" s="595" t="str">
        <f t="shared" si="38"/>
        <v/>
      </c>
      <c r="CM35" s="596" t="str">
        <f t="shared" si="39"/>
        <v/>
      </c>
      <c r="CN35" s="597" t="str">
        <f t="shared" si="40"/>
        <v/>
      </c>
      <c r="CO35" s="598" t="str">
        <f t="shared" si="41"/>
        <v/>
      </c>
      <c r="CP35" s="615" t="str">
        <f t="shared" si="42"/>
        <v/>
      </c>
      <c r="CQ35" s="616" t="str">
        <f t="shared" si="43"/>
        <v/>
      </c>
      <c r="CR35" s="750">
        <f t="shared" si="44"/>
        <v>5</v>
      </c>
      <c r="CS35" s="751">
        <f t="shared" si="45"/>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6"/>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47"/>
        <v>0</v>
      </c>
      <c r="DO35" s="818">
        <f t="shared" si="48"/>
        <v>0</v>
      </c>
      <c r="DP35" s="822" t="str">
        <f t="shared" si="49"/>
        <v/>
      </c>
      <c r="DQ35" s="822" t="str">
        <f t="shared" si="50"/>
        <v/>
      </c>
      <c r="DR35" s="822" t="str">
        <f t="shared" si="51"/>
        <v/>
      </c>
      <c r="DS35" s="821">
        <f t="shared" si="52"/>
        <v>0</v>
      </c>
      <c r="DT35" s="821">
        <f t="shared" si="53"/>
        <v>0</v>
      </c>
      <c r="DU35" s="821" t="str">
        <f t="shared" si="54"/>
        <v/>
      </c>
      <c r="DV35" s="822" t="str">
        <f t="shared" si="55"/>
        <v/>
      </c>
      <c r="DW35" s="856" t="str">
        <f t="shared" si="56"/>
        <v/>
      </c>
      <c r="DX35" s="1006">
        <f t="shared" si="57"/>
        <v>0</v>
      </c>
      <c r="DY35" s="822">
        <f t="shared" si="58"/>
        <v>0</v>
      </c>
      <c r="DZ35" s="821">
        <f t="shared" si="59"/>
        <v>0</v>
      </c>
      <c r="EA35" s="821" t="str">
        <f t="shared" si="60"/>
        <v/>
      </c>
      <c r="EB35" s="822" t="str">
        <f t="shared" si="61"/>
        <v/>
      </c>
      <c r="EC35" s="856" t="str">
        <f t="shared" si="62"/>
        <v/>
      </c>
      <c r="ED35" s="1006">
        <f t="shared" si="63"/>
        <v>0</v>
      </c>
      <c r="EE35" s="1293" t="str">
        <f t="shared" si="64"/>
        <v/>
      </c>
      <c r="EF35" s="1293" t="str">
        <f t="shared" si="65"/>
        <v/>
      </c>
      <c r="EG35" s="1293" t="str">
        <f t="shared" si="66"/>
        <v/>
      </c>
      <c r="EH35" s="856" t="str">
        <f t="shared" si="67"/>
        <v>ERR</v>
      </c>
      <c r="EI35" s="856" t="str">
        <f t="shared" si="68"/>
        <v>ERR</v>
      </c>
      <c r="EJ35" s="822" t="str">
        <f t="shared" si="69"/>
        <v/>
      </c>
      <c r="EK35" s="822" t="str">
        <f t="shared" si="69"/>
        <v/>
      </c>
      <c r="EL35" s="1293" t="str">
        <f t="shared" si="70"/>
        <v/>
      </c>
      <c r="EM35" s="822" t="str">
        <f t="shared" si="71"/>
        <v/>
      </c>
      <c r="EN35" s="822" t="str">
        <f t="shared" si="72"/>
        <v/>
      </c>
      <c r="EO35" s="856" t="str">
        <f t="shared" si="73"/>
        <v>ERR</v>
      </c>
      <c r="EP35" s="856" t="str">
        <f t="shared" si="74"/>
        <v>ERR</v>
      </c>
      <c r="EQ35" s="1293" t="str">
        <f t="shared" si="75"/>
        <v/>
      </c>
      <c r="ER35" s="822" t="str">
        <f t="shared" si="75"/>
        <v/>
      </c>
      <c r="ES35" s="822" t="str">
        <f t="shared" si="76"/>
        <v/>
      </c>
      <c r="ET35" s="822" t="str">
        <f t="shared" si="77"/>
        <v/>
      </c>
      <c r="EU35" s="829">
        <f t="shared" si="78"/>
        <v>4</v>
      </c>
      <c r="EV35" s="824" t="str">
        <f t="shared" si="79"/>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0"/>
        <v/>
      </c>
      <c r="FA35" s="829" t="str">
        <f>IF(AND(DE35="G", ISBLANK(BW35), ISBLANK(BX35)),VLOOKUP(MIN(BT35:BU35),TblJoistSize!$M$3:$N$10,2),IF(OR(DE35="B", DE35="G"),MIN(BW35:BX35),""))</f>
        <v/>
      </c>
      <c r="FB35" s="829" t="str">
        <f>IF(AND(DE35="G", ISBLANK(BW35), ISBLANK(BX35)),VLOOKUP(MAX(BT35:BU35),TblJoistSize!$M$3:$N$10,2),IF(OR(DE35="B", DE35="G"),MAX(BW35:BX35),""))</f>
        <v/>
      </c>
      <c r="FC35" s="829" t="str">
        <f t="shared" si="81"/>
        <v/>
      </c>
      <c r="FD35" s="821">
        <f t="shared" si="107"/>
        <v>0</v>
      </c>
      <c r="FE35" s="821">
        <f t="shared" si="82"/>
        <v>0</v>
      </c>
      <c r="FF35" s="821">
        <f t="shared" si="83"/>
        <v>0</v>
      </c>
      <c r="FG35" s="821" t="str">
        <f t="shared" si="84"/>
        <v/>
      </c>
      <c r="FH35" s="822" t="str">
        <f t="shared" si="85"/>
        <v/>
      </c>
      <c r="FI35" s="821">
        <f t="shared" si="108"/>
        <v>0</v>
      </c>
      <c r="FJ35" s="821">
        <f t="shared" si="86"/>
        <v>0</v>
      </c>
      <c r="FK35" s="821">
        <f t="shared" si="87"/>
        <v>0</v>
      </c>
      <c r="FL35" s="821" t="str">
        <f t="shared" si="88"/>
        <v/>
      </c>
      <c r="FM35" s="822" t="str">
        <f t="shared" si="89"/>
        <v/>
      </c>
      <c r="FN35" s="822" t="e">
        <f t="shared" si="90"/>
        <v>#VALUE!</v>
      </c>
      <c r="FO35" s="940" t="e">
        <f t="shared" si="91"/>
        <v>#VALUE!</v>
      </c>
      <c r="FP35" s="940" t="e">
        <f t="shared" si="92"/>
        <v>#VALUE!</v>
      </c>
      <c r="FQ35" s="830" t="e">
        <f t="shared" si="93"/>
        <v>#VALUE!</v>
      </c>
      <c r="FR35" s="831" t="e">
        <f t="shared" si="94"/>
        <v>#VALUE!</v>
      </c>
      <c r="FS35" s="832" t="str">
        <f t="shared" si="95"/>
        <v/>
      </c>
      <c r="FT35" s="833" t="str">
        <f t="shared" si="96"/>
        <v/>
      </c>
      <c r="FU35" s="870">
        <f t="shared" si="97"/>
        <v>0</v>
      </c>
      <c r="FV35" s="871">
        <f t="shared" si="98"/>
        <v>0</v>
      </c>
      <c r="GA35" s="1791">
        <v>50</v>
      </c>
      <c r="GB35" s="1792">
        <v>0</v>
      </c>
      <c r="GC35" s="1793">
        <v>-0.25</v>
      </c>
      <c r="GD35" s="1794">
        <v>-0.25</v>
      </c>
      <c r="GE35" s="1795">
        <f t="shared" si="99"/>
        <v>0</v>
      </c>
      <c r="GF35" s="600" t="str">
        <f t="shared" si="100"/>
        <v>J36</v>
      </c>
      <c r="GG35" s="1130">
        <v>0</v>
      </c>
      <c r="GH35" s="1131">
        <v>0</v>
      </c>
      <c r="GI35" s="1130"/>
      <c r="GJ35" s="1131"/>
      <c r="GK35" s="1638">
        <f t="shared" si="101"/>
        <v>599.5</v>
      </c>
      <c r="GL35" s="1636">
        <f t="shared" si="102"/>
        <v>599.5</v>
      </c>
      <c r="GM35" s="1637">
        <f>IF(ABS(GK35-GL35)&gt;='Job Info.'!$L$22,ABS(GK35-GL35),0)</f>
        <v>0</v>
      </c>
      <c r="HA35" s="1269" t="s">
        <v>1466</v>
      </c>
      <c r="HB35" s="1270">
        <v>2</v>
      </c>
      <c r="HC35" s="1270" t="s">
        <v>1592</v>
      </c>
      <c r="HD35" s="1271">
        <v>49</v>
      </c>
      <c r="HE35" s="1272">
        <v>11.5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2.25</v>
      </c>
      <c r="HX35" s="1272">
        <v>4</v>
      </c>
      <c r="HY35" s="1272" t="s">
        <v>116</v>
      </c>
      <c r="HZ35" s="1272" t="s">
        <v>116</v>
      </c>
      <c r="IA35" s="1272" t="s">
        <v>1676</v>
      </c>
      <c r="IB35" s="1272"/>
      <c r="IC35" s="1272"/>
      <c r="ID35" s="1272"/>
      <c r="IE35" s="1272"/>
      <c r="IF35" s="1274"/>
    </row>
    <row r="36" spans="1:240" ht="12.6" customHeight="1" x14ac:dyDescent="0.25">
      <c r="A36" s="1448" t="s">
        <v>1467</v>
      </c>
      <c r="B36" s="1681">
        <v>2</v>
      </c>
      <c r="C36" s="1449" t="s">
        <v>1592</v>
      </c>
      <c r="D36" s="1705">
        <v>49</v>
      </c>
      <c r="E36" s="1706">
        <v>11.5</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103"/>
        <v/>
      </c>
      <c r="O36" s="1709" t="str">
        <f t="shared" si="104"/>
        <v/>
      </c>
      <c r="P36" s="1710" t="str">
        <f t="shared" si="105"/>
        <v/>
      </c>
      <c r="Q36" s="1705" t="str">
        <f t="shared" si="7"/>
        <v/>
      </c>
      <c r="R36" s="1709" t="str">
        <f t="shared" si="8"/>
        <v/>
      </c>
      <c r="S36" s="1711" t="str">
        <f t="shared" si="9"/>
        <v/>
      </c>
      <c r="T36" s="1714">
        <v>0</v>
      </c>
      <c r="U36" s="1709">
        <v>2.25</v>
      </c>
      <c r="V36" s="1705">
        <v>0</v>
      </c>
      <c r="W36" s="1709">
        <v>2.25</v>
      </c>
      <c r="X36" s="1713">
        <v>4</v>
      </c>
      <c r="Y36" s="1781" t="str">
        <f t="shared" si="10"/>
        <v/>
      </c>
      <c r="Z36" s="1782" t="str">
        <f t="shared" si="11"/>
        <v/>
      </c>
      <c r="AA36" s="1783" t="s">
        <v>1741</v>
      </c>
      <c r="AB36" s="1413"/>
      <c r="AC36" s="964" t="b">
        <v>0</v>
      </c>
      <c r="AD36" s="441">
        <f t="shared" si="12"/>
        <v>0</v>
      </c>
      <c r="AE36" s="442">
        <f t="shared" si="13"/>
        <v>2</v>
      </c>
      <c r="AF36" s="442">
        <f t="shared" si="14"/>
        <v>0</v>
      </c>
      <c r="AG36" s="442">
        <f t="shared" si="15"/>
        <v>0</v>
      </c>
      <c r="AH36" s="443">
        <f t="shared" si="16"/>
        <v>0</v>
      </c>
      <c r="AI36" s="444" t="b">
        <v>0</v>
      </c>
      <c r="AJ36" s="238">
        <f t="shared" si="17"/>
        <v>32</v>
      </c>
      <c r="AK36" s="830" t="str">
        <f t="shared" si="18"/>
        <v>LH</v>
      </c>
      <c r="AL36" s="945" t="str">
        <f t="shared" si="19"/>
        <v/>
      </c>
      <c r="AM36" s="830">
        <f t="shared" si="20"/>
        <v>305</v>
      </c>
      <c r="AN36" s="830">
        <f t="shared" si="21"/>
        <v>180</v>
      </c>
      <c r="AO36" s="830" t="str">
        <f t="shared" si="22"/>
        <v/>
      </c>
      <c r="AP36" s="830" t="b">
        <f>IF(ISERROR(AJ36),FALSE,IF(OR(AJ36=0,ISERROR(AL36),ISERROR(AM36),ISERROR(AN36),ISERROR(AO36)),FALSE,IF(AL36&lt;&gt;"",IF(ISERROR(VLOOKUP(SUBSTITUTE(SUBSTITUTE(C36,"R",""),"A",""),TblJoistSize!$A:$A,1,FALSE)),FALSE,TRUE),TRUE)))</f>
        <v>1</v>
      </c>
      <c r="AQ36" s="1038">
        <f t="shared" si="23"/>
        <v>6</v>
      </c>
      <c r="AR36" s="945" t="b">
        <f t="shared" si="24"/>
        <v>1</v>
      </c>
      <c r="AS36" s="1038">
        <f t="shared" si="25"/>
        <v>6</v>
      </c>
      <c r="AT36" s="945" t="b">
        <f t="shared" si="26"/>
        <v>1</v>
      </c>
      <c r="AU36" s="946" t="str">
        <f t="shared" si="27"/>
        <v>LH</v>
      </c>
      <c r="AV36" s="830" t="str">
        <f t="shared" si="28"/>
        <v/>
      </c>
      <c r="AW36" s="830" t="str">
        <f t="shared" si="29"/>
        <v>LH</v>
      </c>
      <c r="AX36" s="830" t="str">
        <f t="shared" si="106"/>
        <v>J37</v>
      </c>
      <c r="AY36" s="1039" t="b">
        <f t="shared" si="30"/>
        <v>0</v>
      </c>
      <c r="AZ36" s="856" t="b">
        <f t="shared" si="31"/>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2"/>
        <v/>
      </c>
      <c r="BR36" s="910"/>
      <c r="BS36" s="672"/>
      <c r="BT36" s="713"/>
      <c r="BU36" s="714"/>
      <c r="BV36" s="1625"/>
      <c r="BW36" s="713"/>
      <c r="BX36" s="714"/>
      <c r="BY36" s="715"/>
      <c r="BZ36" s="716"/>
      <c r="CA36" s="680" t="str">
        <f>IF(ISERROR(DE36),"",IF(DE36="","",IF(VLOOKUP(BS36,SectInfo!$B:$N,10,FALSE)="","","X")))</f>
        <v/>
      </c>
      <c r="CB36" s="738"/>
      <c r="CC36" s="1551" t="str">
        <f t="shared" si="33"/>
        <v/>
      </c>
      <c r="CD36" s="910"/>
      <c r="CE36" s="717"/>
      <c r="CF36" s="736"/>
      <c r="CG36" s="737"/>
      <c r="CH36" s="591" t="str">
        <f t="shared" si="34"/>
        <v/>
      </c>
      <c r="CI36" s="592" t="str">
        <f t="shared" si="35"/>
        <v/>
      </c>
      <c r="CJ36" s="593" t="str">
        <f t="shared" si="36"/>
        <v/>
      </c>
      <c r="CK36" s="594" t="str">
        <f t="shared" si="37"/>
        <v/>
      </c>
      <c r="CL36" s="595" t="str">
        <f t="shared" si="38"/>
        <v/>
      </c>
      <c r="CM36" s="596" t="str">
        <f t="shared" si="39"/>
        <v/>
      </c>
      <c r="CN36" s="597" t="str">
        <f t="shared" si="40"/>
        <v/>
      </c>
      <c r="CO36" s="598" t="str">
        <f t="shared" si="41"/>
        <v/>
      </c>
      <c r="CP36" s="615" t="str">
        <f t="shared" si="42"/>
        <v/>
      </c>
      <c r="CQ36" s="616" t="str">
        <f t="shared" si="43"/>
        <v/>
      </c>
      <c r="CR36" s="750">
        <f t="shared" si="44"/>
        <v>5</v>
      </c>
      <c r="CS36" s="751">
        <f t="shared" si="45"/>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6"/>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47"/>
        <v>0</v>
      </c>
      <c r="DO36" s="818">
        <f t="shared" si="48"/>
        <v>0</v>
      </c>
      <c r="DP36" s="822" t="str">
        <f t="shared" si="49"/>
        <v/>
      </c>
      <c r="DQ36" s="822" t="str">
        <f t="shared" si="50"/>
        <v/>
      </c>
      <c r="DR36" s="822" t="str">
        <f t="shared" si="51"/>
        <v/>
      </c>
      <c r="DS36" s="821">
        <f t="shared" si="52"/>
        <v>0</v>
      </c>
      <c r="DT36" s="821">
        <f t="shared" si="53"/>
        <v>0</v>
      </c>
      <c r="DU36" s="821" t="str">
        <f t="shared" si="54"/>
        <v/>
      </c>
      <c r="DV36" s="822" t="str">
        <f t="shared" si="55"/>
        <v/>
      </c>
      <c r="DW36" s="856" t="str">
        <f t="shared" si="56"/>
        <v/>
      </c>
      <c r="DX36" s="1006">
        <f t="shared" si="57"/>
        <v>0</v>
      </c>
      <c r="DY36" s="822">
        <f t="shared" si="58"/>
        <v>0</v>
      </c>
      <c r="DZ36" s="821">
        <f t="shared" si="59"/>
        <v>0</v>
      </c>
      <c r="EA36" s="821" t="str">
        <f t="shared" si="60"/>
        <v/>
      </c>
      <c r="EB36" s="822" t="str">
        <f t="shared" si="61"/>
        <v/>
      </c>
      <c r="EC36" s="856" t="str">
        <f t="shared" si="62"/>
        <v/>
      </c>
      <c r="ED36" s="1006">
        <f t="shared" si="63"/>
        <v>0</v>
      </c>
      <c r="EE36" s="1293" t="str">
        <f t="shared" si="64"/>
        <v/>
      </c>
      <c r="EF36" s="1293" t="str">
        <f t="shared" si="65"/>
        <v/>
      </c>
      <c r="EG36" s="1293" t="str">
        <f t="shared" si="66"/>
        <v/>
      </c>
      <c r="EH36" s="856" t="str">
        <f t="shared" si="67"/>
        <v>ERR</v>
      </c>
      <c r="EI36" s="856" t="str">
        <f t="shared" si="68"/>
        <v>ERR</v>
      </c>
      <c r="EJ36" s="822" t="str">
        <f t="shared" si="69"/>
        <v/>
      </c>
      <c r="EK36" s="822" t="str">
        <f t="shared" si="69"/>
        <v/>
      </c>
      <c r="EL36" s="1293" t="str">
        <f t="shared" si="70"/>
        <v/>
      </c>
      <c r="EM36" s="822" t="str">
        <f t="shared" si="71"/>
        <v/>
      </c>
      <c r="EN36" s="822" t="str">
        <f t="shared" si="72"/>
        <v/>
      </c>
      <c r="EO36" s="856" t="str">
        <f t="shared" si="73"/>
        <v>ERR</v>
      </c>
      <c r="EP36" s="856" t="str">
        <f t="shared" si="74"/>
        <v>ERR</v>
      </c>
      <c r="EQ36" s="1293" t="str">
        <f t="shared" si="75"/>
        <v/>
      </c>
      <c r="ER36" s="822" t="str">
        <f t="shared" si="75"/>
        <v/>
      </c>
      <c r="ES36" s="822" t="str">
        <f t="shared" si="76"/>
        <v/>
      </c>
      <c r="ET36" s="822" t="str">
        <f t="shared" si="77"/>
        <v/>
      </c>
      <c r="EU36" s="829">
        <f t="shared" si="78"/>
        <v>4</v>
      </c>
      <c r="EV36" s="824" t="str">
        <f t="shared" si="79"/>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0"/>
        <v/>
      </c>
      <c r="FA36" s="829" t="str">
        <f>IF(AND(DE36="G", ISBLANK(BW36), ISBLANK(BX36)),VLOOKUP(MIN(BT36:BU36),TblJoistSize!$M$3:$N$10,2),IF(OR(DE36="B", DE36="G"),MIN(BW36:BX36),""))</f>
        <v/>
      </c>
      <c r="FB36" s="829" t="str">
        <f>IF(AND(DE36="G", ISBLANK(BW36), ISBLANK(BX36)),VLOOKUP(MAX(BT36:BU36),TblJoistSize!$M$3:$N$10,2),IF(OR(DE36="B", DE36="G"),MAX(BW36:BX36),""))</f>
        <v/>
      </c>
      <c r="FC36" s="829" t="str">
        <f t="shared" si="81"/>
        <v/>
      </c>
      <c r="FD36" s="821">
        <f t="shared" si="107"/>
        <v>0</v>
      </c>
      <c r="FE36" s="821">
        <f t="shared" si="82"/>
        <v>0</v>
      </c>
      <c r="FF36" s="821">
        <f t="shared" si="83"/>
        <v>0</v>
      </c>
      <c r="FG36" s="821" t="str">
        <f t="shared" si="84"/>
        <v/>
      </c>
      <c r="FH36" s="822" t="str">
        <f t="shared" si="85"/>
        <v/>
      </c>
      <c r="FI36" s="821">
        <f t="shared" si="108"/>
        <v>0</v>
      </c>
      <c r="FJ36" s="821">
        <f t="shared" si="86"/>
        <v>0</v>
      </c>
      <c r="FK36" s="821">
        <f t="shared" si="87"/>
        <v>0</v>
      </c>
      <c r="FL36" s="821" t="str">
        <f t="shared" si="88"/>
        <v/>
      </c>
      <c r="FM36" s="822" t="str">
        <f t="shared" si="89"/>
        <v/>
      </c>
      <c r="FN36" s="822" t="e">
        <f t="shared" si="90"/>
        <v>#VALUE!</v>
      </c>
      <c r="FO36" s="940" t="e">
        <f t="shared" si="91"/>
        <v>#VALUE!</v>
      </c>
      <c r="FP36" s="940" t="e">
        <f t="shared" si="92"/>
        <v>#VALUE!</v>
      </c>
      <c r="FQ36" s="830" t="e">
        <f t="shared" si="93"/>
        <v>#VALUE!</v>
      </c>
      <c r="FR36" s="831" t="e">
        <f t="shared" si="94"/>
        <v>#VALUE!</v>
      </c>
      <c r="FS36" s="832" t="str">
        <f t="shared" si="95"/>
        <v/>
      </c>
      <c r="FT36" s="833" t="str">
        <f t="shared" si="96"/>
        <v/>
      </c>
      <c r="FU36" s="870">
        <f t="shared" si="97"/>
        <v>0</v>
      </c>
      <c r="FV36" s="871">
        <f t="shared" si="98"/>
        <v>0</v>
      </c>
      <c r="GA36" s="1791">
        <v>50</v>
      </c>
      <c r="GB36" s="1792">
        <v>0</v>
      </c>
      <c r="GC36" s="1793">
        <v>-0.25</v>
      </c>
      <c r="GD36" s="1794">
        <v>-0.25</v>
      </c>
      <c r="GE36" s="1795">
        <f t="shared" si="99"/>
        <v>0</v>
      </c>
      <c r="GF36" s="600" t="str">
        <f t="shared" si="100"/>
        <v>J37</v>
      </c>
      <c r="GG36" s="1130">
        <v>0</v>
      </c>
      <c r="GH36" s="1131">
        <v>0</v>
      </c>
      <c r="GI36" s="1130"/>
      <c r="GJ36" s="1131"/>
      <c r="GK36" s="1638">
        <f t="shared" si="101"/>
        <v>599.5</v>
      </c>
      <c r="GL36" s="1636">
        <f t="shared" si="102"/>
        <v>599.5</v>
      </c>
      <c r="GM36" s="1637">
        <f>IF(ABS(GK36-GL36)&gt;='Job Info.'!$L$22,ABS(GK36-GL36),0)</f>
        <v>0</v>
      </c>
      <c r="HA36" s="1269" t="s">
        <v>1467</v>
      </c>
      <c r="HB36" s="1270">
        <v>2</v>
      </c>
      <c r="HC36" s="1270" t="s">
        <v>1592</v>
      </c>
      <c r="HD36" s="1271">
        <v>49</v>
      </c>
      <c r="HE36" s="1272">
        <v>11.5</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2.25</v>
      </c>
      <c r="HX36" s="1272">
        <v>4</v>
      </c>
      <c r="HY36" s="1272" t="s">
        <v>116</v>
      </c>
      <c r="HZ36" s="1272" t="s">
        <v>116</v>
      </c>
      <c r="IA36" s="1272" t="s">
        <v>1677</v>
      </c>
      <c r="IB36" s="1272"/>
      <c r="IC36" s="1272"/>
      <c r="ID36" s="1272"/>
      <c r="IE36" s="1272"/>
      <c r="IF36" s="1274"/>
    </row>
    <row r="37" spans="1:240" ht="12.6" customHeight="1" x14ac:dyDescent="0.25">
      <c r="A37" s="1448" t="s">
        <v>1468</v>
      </c>
      <c r="B37" s="1681">
        <v>2</v>
      </c>
      <c r="C37" s="1449" t="s">
        <v>1592</v>
      </c>
      <c r="D37" s="1705">
        <v>49</v>
      </c>
      <c r="E37" s="1706">
        <v>11.5</v>
      </c>
      <c r="F37" s="1714" t="str">
        <f t="shared" si="1"/>
        <v/>
      </c>
      <c r="G37" s="1709" t="str">
        <f t="shared" si="2"/>
        <v/>
      </c>
      <c r="H37" s="1779" t="str">
        <f t="shared" si="3"/>
        <v/>
      </c>
      <c r="I37" s="1705" t="str">
        <f t="shared" si="4"/>
        <v/>
      </c>
      <c r="J37" s="1709" t="str">
        <f t="shared" si="5"/>
        <v/>
      </c>
      <c r="K37" s="1796" t="str">
        <f t="shared" si="6"/>
        <v/>
      </c>
      <c r="L37" s="1712">
        <v>5</v>
      </c>
      <c r="M37" s="1713">
        <v>5</v>
      </c>
      <c r="N37" s="1708" t="str">
        <f t="shared" si="103"/>
        <v/>
      </c>
      <c r="O37" s="1709" t="str">
        <f t="shared" si="104"/>
        <v/>
      </c>
      <c r="P37" s="1710" t="str">
        <f t="shared" si="105"/>
        <v/>
      </c>
      <c r="Q37" s="1705" t="str">
        <f t="shared" si="7"/>
        <v/>
      </c>
      <c r="R37" s="1709" t="str">
        <f t="shared" si="8"/>
        <v/>
      </c>
      <c r="S37" s="1711" t="str">
        <f t="shared" si="9"/>
        <v/>
      </c>
      <c r="T37" s="1714">
        <v>0</v>
      </c>
      <c r="U37" s="1709">
        <v>2.25</v>
      </c>
      <c r="V37" s="1705">
        <v>0</v>
      </c>
      <c r="W37" s="1709">
        <v>2.25</v>
      </c>
      <c r="X37" s="1713">
        <v>4</v>
      </c>
      <c r="Y37" s="1781" t="str">
        <f t="shared" si="10"/>
        <v/>
      </c>
      <c r="Z37" s="1782" t="str">
        <f t="shared" si="11"/>
        <v/>
      </c>
      <c r="AA37" s="1783" t="s">
        <v>1742</v>
      </c>
      <c r="AB37" s="1413"/>
      <c r="AC37" s="964" t="b">
        <v>0</v>
      </c>
      <c r="AD37" s="441">
        <f t="shared" si="12"/>
        <v>0</v>
      </c>
      <c r="AE37" s="442">
        <f t="shared" si="13"/>
        <v>2</v>
      </c>
      <c r="AF37" s="442">
        <f t="shared" si="14"/>
        <v>0</v>
      </c>
      <c r="AG37" s="442">
        <f t="shared" si="15"/>
        <v>0</v>
      </c>
      <c r="AH37" s="443">
        <f t="shared" si="16"/>
        <v>0</v>
      </c>
      <c r="AI37" s="444" t="b">
        <v>0</v>
      </c>
      <c r="AJ37" s="238">
        <f t="shared" si="17"/>
        <v>32</v>
      </c>
      <c r="AK37" s="830" t="str">
        <f t="shared" si="18"/>
        <v>LH</v>
      </c>
      <c r="AL37" s="945" t="str">
        <f t="shared" si="19"/>
        <v/>
      </c>
      <c r="AM37" s="830">
        <f t="shared" si="20"/>
        <v>305</v>
      </c>
      <c r="AN37" s="830">
        <f t="shared" si="21"/>
        <v>180</v>
      </c>
      <c r="AO37" s="830" t="str">
        <f t="shared" si="22"/>
        <v/>
      </c>
      <c r="AP37" s="830" t="b">
        <f>IF(ISERROR(AJ37),FALSE,IF(OR(AJ37=0,ISERROR(AL37),ISERROR(AM37),ISERROR(AN37),ISERROR(AO37)),FALSE,IF(AL37&lt;&gt;"",IF(ISERROR(VLOOKUP(SUBSTITUTE(SUBSTITUTE(C37,"R",""),"A",""),TblJoistSize!$A:$A,1,FALSE)),FALSE,TRUE),TRUE)))</f>
        <v>1</v>
      </c>
      <c r="AQ37" s="1038">
        <f t="shared" si="23"/>
        <v>6</v>
      </c>
      <c r="AR37" s="945" t="b">
        <f t="shared" si="24"/>
        <v>1</v>
      </c>
      <c r="AS37" s="1038">
        <f t="shared" si="25"/>
        <v>6</v>
      </c>
      <c r="AT37" s="945" t="b">
        <f t="shared" si="26"/>
        <v>1</v>
      </c>
      <c r="AU37" s="946" t="str">
        <f t="shared" si="27"/>
        <v>LH</v>
      </c>
      <c r="AV37" s="830" t="str">
        <f t="shared" si="28"/>
        <v/>
      </c>
      <c r="AW37" s="830" t="str">
        <f t="shared" si="29"/>
        <v>LH</v>
      </c>
      <c r="AX37" s="830" t="str">
        <f t="shared" si="106"/>
        <v>J38</v>
      </c>
      <c r="AY37" s="1039" t="b">
        <f t="shared" si="30"/>
        <v>0</v>
      </c>
      <c r="AZ37" s="856" t="b">
        <f t="shared" si="31"/>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2"/>
        <v/>
      </c>
      <c r="BR37" s="910"/>
      <c r="BS37" s="672"/>
      <c r="BT37" s="713"/>
      <c r="BU37" s="714"/>
      <c r="BV37" s="1625"/>
      <c r="BW37" s="713"/>
      <c r="BX37" s="714"/>
      <c r="BY37" s="715"/>
      <c r="BZ37" s="716"/>
      <c r="CA37" s="680" t="str">
        <f>IF(ISERROR(DE37),"",IF(DE37="","",IF(VLOOKUP(BS37,SectInfo!$B:$N,10,FALSE)="","","X")))</f>
        <v/>
      </c>
      <c r="CB37" s="738"/>
      <c r="CC37" s="1551" t="str">
        <f t="shared" si="33"/>
        <v/>
      </c>
      <c r="CD37" s="910"/>
      <c r="CE37" s="717"/>
      <c r="CF37" s="736"/>
      <c r="CG37" s="737"/>
      <c r="CH37" s="591" t="str">
        <f t="shared" si="34"/>
        <v/>
      </c>
      <c r="CI37" s="592" t="str">
        <f t="shared" si="35"/>
        <v/>
      </c>
      <c r="CJ37" s="593" t="str">
        <f t="shared" si="36"/>
        <v/>
      </c>
      <c r="CK37" s="594" t="str">
        <f t="shared" si="37"/>
        <v/>
      </c>
      <c r="CL37" s="595" t="str">
        <f t="shared" si="38"/>
        <v/>
      </c>
      <c r="CM37" s="596" t="str">
        <f t="shared" si="39"/>
        <v/>
      </c>
      <c r="CN37" s="597" t="str">
        <f t="shared" si="40"/>
        <v/>
      </c>
      <c r="CO37" s="598" t="str">
        <f t="shared" si="41"/>
        <v/>
      </c>
      <c r="CP37" s="615" t="str">
        <f t="shared" si="42"/>
        <v/>
      </c>
      <c r="CQ37" s="616" t="str">
        <f t="shared" si="43"/>
        <v/>
      </c>
      <c r="CR37" s="750">
        <f t="shared" si="44"/>
        <v>5</v>
      </c>
      <c r="CS37" s="751">
        <f t="shared" si="45"/>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6"/>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47"/>
        <v>0</v>
      </c>
      <c r="DO37" s="818">
        <f t="shared" si="48"/>
        <v>0</v>
      </c>
      <c r="DP37" s="822" t="str">
        <f t="shared" si="49"/>
        <v/>
      </c>
      <c r="DQ37" s="822" t="str">
        <f t="shared" si="50"/>
        <v/>
      </c>
      <c r="DR37" s="822" t="str">
        <f t="shared" si="51"/>
        <v/>
      </c>
      <c r="DS37" s="821">
        <f t="shared" si="52"/>
        <v>0</v>
      </c>
      <c r="DT37" s="821">
        <f t="shared" si="53"/>
        <v>0</v>
      </c>
      <c r="DU37" s="821" t="str">
        <f t="shared" si="54"/>
        <v/>
      </c>
      <c r="DV37" s="822" t="str">
        <f t="shared" si="55"/>
        <v/>
      </c>
      <c r="DW37" s="856" t="str">
        <f t="shared" si="56"/>
        <v/>
      </c>
      <c r="DX37" s="1006">
        <f t="shared" si="57"/>
        <v>0</v>
      </c>
      <c r="DY37" s="822">
        <f t="shared" si="58"/>
        <v>0</v>
      </c>
      <c r="DZ37" s="821">
        <f t="shared" si="59"/>
        <v>0</v>
      </c>
      <c r="EA37" s="821" t="str">
        <f t="shared" si="60"/>
        <v/>
      </c>
      <c r="EB37" s="822" t="str">
        <f t="shared" si="61"/>
        <v/>
      </c>
      <c r="EC37" s="856" t="str">
        <f t="shared" si="62"/>
        <v/>
      </c>
      <c r="ED37" s="1006">
        <f t="shared" si="63"/>
        <v>0</v>
      </c>
      <c r="EE37" s="1293" t="str">
        <f t="shared" si="64"/>
        <v/>
      </c>
      <c r="EF37" s="1293" t="str">
        <f t="shared" si="65"/>
        <v/>
      </c>
      <c r="EG37" s="1293" t="str">
        <f t="shared" si="66"/>
        <v/>
      </c>
      <c r="EH37" s="856" t="str">
        <f t="shared" si="67"/>
        <v>ERR</v>
      </c>
      <c r="EI37" s="856" t="str">
        <f t="shared" si="68"/>
        <v>ERR</v>
      </c>
      <c r="EJ37" s="822" t="str">
        <f t="shared" si="69"/>
        <v/>
      </c>
      <c r="EK37" s="822" t="str">
        <f t="shared" si="69"/>
        <v/>
      </c>
      <c r="EL37" s="1293" t="str">
        <f t="shared" si="70"/>
        <v/>
      </c>
      <c r="EM37" s="822" t="str">
        <f t="shared" si="71"/>
        <v/>
      </c>
      <c r="EN37" s="822" t="str">
        <f t="shared" si="72"/>
        <v/>
      </c>
      <c r="EO37" s="856" t="str">
        <f t="shared" si="73"/>
        <v>ERR</v>
      </c>
      <c r="EP37" s="856" t="str">
        <f t="shared" si="74"/>
        <v>ERR</v>
      </c>
      <c r="EQ37" s="1293" t="str">
        <f t="shared" si="75"/>
        <v/>
      </c>
      <c r="ER37" s="822" t="str">
        <f t="shared" si="75"/>
        <v/>
      </c>
      <c r="ES37" s="822" t="str">
        <f t="shared" si="76"/>
        <v/>
      </c>
      <c r="ET37" s="822" t="str">
        <f t="shared" si="77"/>
        <v/>
      </c>
      <c r="EU37" s="829">
        <f t="shared" si="78"/>
        <v>4</v>
      </c>
      <c r="EV37" s="824" t="str">
        <f t="shared" si="79"/>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0"/>
        <v/>
      </c>
      <c r="FA37" s="829" t="str">
        <f>IF(AND(DE37="G", ISBLANK(BW37), ISBLANK(BX37)),VLOOKUP(MIN(BT37:BU37),TblJoistSize!$M$3:$N$10,2),IF(OR(DE37="B", DE37="G"),MIN(BW37:BX37),""))</f>
        <v/>
      </c>
      <c r="FB37" s="829" t="str">
        <f>IF(AND(DE37="G", ISBLANK(BW37), ISBLANK(BX37)),VLOOKUP(MAX(BT37:BU37),TblJoistSize!$M$3:$N$10,2),IF(OR(DE37="B", DE37="G"),MAX(BW37:BX37),""))</f>
        <v/>
      </c>
      <c r="FC37" s="829" t="str">
        <f t="shared" si="81"/>
        <v/>
      </c>
      <c r="FD37" s="821">
        <f t="shared" si="107"/>
        <v>0</v>
      </c>
      <c r="FE37" s="821">
        <f t="shared" si="82"/>
        <v>0</v>
      </c>
      <c r="FF37" s="821">
        <f t="shared" si="83"/>
        <v>0</v>
      </c>
      <c r="FG37" s="821" t="str">
        <f t="shared" si="84"/>
        <v/>
      </c>
      <c r="FH37" s="822" t="str">
        <f t="shared" si="85"/>
        <v/>
      </c>
      <c r="FI37" s="821">
        <f t="shared" si="108"/>
        <v>0</v>
      </c>
      <c r="FJ37" s="821">
        <f t="shared" si="86"/>
        <v>0</v>
      </c>
      <c r="FK37" s="821">
        <f t="shared" si="87"/>
        <v>0</v>
      </c>
      <c r="FL37" s="821" t="str">
        <f t="shared" si="88"/>
        <v/>
      </c>
      <c r="FM37" s="822" t="str">
        <f t="shared" si="89"/>
        <v/>
      </c>
      <c r="FN37" s="822" t="e">
        <f t="shared" si="90"/>
        <v>#VALUE!</v>
      </c>
      <c r="FO37" s="940" t="e">
        <f t="shared" si="91"/>
        <v>#VALUE!</v>
      </c>
      <c r="FP37" s="940" t="e">
        <f t="shared" si="92"/>
        <v>#VALUE!</v>
      </c>
      <c r="FQ37" s="830" t="e">
        <f t="shared" si="93"/>
        <v>#VALUE!</v>
      </c>
      <c r="FR37" s="831" t="e">
        <f t="shared" si="94"/>
        <v>#VALUE!</v>
      </c>
      <c r="FS37" s="832" t="str">
        <f t="shared" si="95"/>
        <v/>
      </c>
      <c r="FT37" s="833" t="str">
        <f t="shared" si="96"/>
        <v/>
      </c>
      <c r="FU37" s="870">
        <f t="shared" si="97"/>
        <v>0</v>
      </c>
      <c r="FV37" s="871">
        <f t="shared" si="98"/>
        <v>0</v>
      </c>
      <c r="GA37" s="1791">
        <v>50</v>
      </c>
      <c r="GB37" s="1792">
        <v>0</v>
      </c>
      <c r="GC37" s="1793">
        <v>-0.25</v>
      </c>
      <c r="GD37" s="1794">
        <v>-0.25</v>
      </c>
      <c r="GE37" s="1795">
        <f t="shared" si="99"/>
        <v>0</v>
      </c>
      <c r="GF37" s="600" t="str">
        <f t="shared" si="100"/>
        <v>J38</v>
      </c>
      <c r="GG37" s="1130">
        <v>0</v>
      </c>
      <c r="GH37" s="1131">
        <v>0</v>
      </c>
      <c r="GI37" s="1130"/>
      <c r="GJ37" s="1131"/>
      <c r="GK37" s="1638">
        <f t="shared" si="101"/>
        <v>599.5</v>
      </c>
      <c r="GL37" s="1636">
        <f t="shared" si="102"/>
        <v>599.5</v>
      </c>
      <c r="GM37" s="1637">
        <f>IF(ABS(GK37-GL37)&gt;='Job Info.'!$L$22,ABS(GK37-GL37),0)</f>
        <v>0</v>
      </c>
      <c r="HA37" s="1269" t="s">
        <v>1468</v>
      </c>
      <c r="HB37" s="1270">
        <v>2</v>
      </c>
      <c r="HC37" s="1270" t="s">
        <v>1592</v>
      </c>
      <c r="HD37" s="1271">
        <v>49</v>
      </c>
      <c r="HE37" s="1272">
        <v>11.5</v>
      </c>
      <c r="HF37" s="1270" t="s">
        <v>116</v>
      </c>
      <c r="HG37" s="1270" t="s">
        <v>116</v>
      </c>
      <c r="HH37" s="1270" t="s">
        <v>116</v>
      </c>
      <c r="HI37" s="1273" t="s">
        <v>116</v>
      </c>
      <c r="HJ37" s="1270" t="s">
        <v>116</v>
      </c>
      <c r="HK37" s="1270" t="s">
        <v>116</v>
      </c>
      <c r="HL37" s="1270">
        <v>5</v>
      </c>
      <c r="HM37" s="1270">
        <v>5</v>
      </c>
      <c r="HN37" s="1270" t="s">
        <v>116</v>
      </c>
      <c r="HO37" s="1270" t="s">
        <v>116</v>
      </c>
      <c r="HP37" s="1270" t="s">
        <v>116</v>
      </c>
      <c r="HQ37" s="1273" t="s">
        <v>116</v>
      </c>
      <c r="HR37" s="1270" t="s">
        <v>116</v>
      </c>
      <c r="HS37" s="1270" t="s">
        <v>116</v>
      </c>
      <c r="HT37" s="1270">
        <v>0</v>
      </c>
      <c r="HU37" s="1270">
        <v>2.25</v>
      </c>
      <c r="HV37" s="1270">
        <v>0</v>
      </c>
      <c r="HW37" s="1272">
        <v>2.25</v>
      </c>
      <c r="HX37" s="1272">
        <v>4</v>
      </c>
      <c r="HY37" s="1272" t="s">
        <v>116</v>
      </c>
      <c r="HZ37" s="1272" t="s">
        <v>116</v>
      </c>
      <c r="IA37" s="1272" t="s">
        <v>1678</v>
      </c>
      <c r="IB37" s="1272"/>
      <c r="IC37" s="1272"/>
      <c r="ID37" s="1272"/>
      <c r="IE37" s="1272"/>
      <c r="IF37" s="1274"/>
    </row>
    <row r="38" spans="1:240" ht="12.6" customHeight="1" x14ac:dyDescent="0.25">
      <c r="A38" s="1448" t="s">
        <v>1469</v>
      </c>
      <c r="B38" s="1681">
        <v>2</v>
      </c>
      <c r="C38" s="1449" t="s">
        <v>1592</v>
      </c>
      <c r="D38" s="1705">
        <v>39</v>
      </c>
      <c r="E38" s="1706">
        <v>11.5</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103"/>
        <v/>
      </c>
      <c r="O38" s="1709" t="str">
        <f t="shared" si="104"/>
        <v/>
      </c>
      <c r="P38" s="1710" t="str">
        <f t="shared" si="105"/>
        <v/>
      </c>
      <c r="Q38" s="1705" t="str">
        <f t="shared" si="7"/>
        <v/>
      </c>
      <c r="R38" s="1709" t="str">
        <f t="shared" si="8"/>
        <v/>
      </c>
      <c r="S38" s="1711" t="str">
        <f t="shared" si="9"/>
        <v/>
      </c>
      <c r="T38" s="1714">
        <v>0</v>
      </c>
      <c r="U38" s="1709">
        <v>2.25</v>
      </c>
      <c r="V38" s="1705">
        <v>0</v>
      </c>
      <c r="W38" s="1709">
        <v>2.25</v>
      </c>
      <c r="X38" s="1713">
        <v>4</v>
      </c>
      <c r="Y38" s="1781" t="str">
        <f t="shared" si="10"/>
        <v/>
      </c>
      <c r="Z38" s="1782" t="str">
        <f t="shared" si="11"/>
        <v/>
      </c>
      <c r="AA38" s="1783" t="s">
        <v>1743</v>
      </c>
      <c r="AB38" s="1413"/>
      <c r="AC38" s="964" t="b">
        <v>0</v>
      </c>
      <c r="AD38" s="441">
        <f t="shared" si="12"/>
        <v>0</v>
      </c>
      <c r="AE38" s="442">
        <f t="shared" si="13"/>
        <v>2</v>
      </c>
      <c r="AF38" s="442">
        <f t="shared" si="14"/>
        <v>0</v>
      </c>
      <c r="AG38" s="442">
        <f t="shared" si="15"/>
        <v>0</v>
      </c>
      <c r="AH38" s="443">
        <f t="shared" si="16"/>
        <v>0</v>
      </c>
      <c r="AI38" s="444" t="b">
        <v>0</v>
      </c>
      <c r="AJ38" s="238">
        <f t="shared" si="17"/>
        <v>32</v>
      </c>
      <c r="AK38" s="830" t="str">
        <f t="shared" si="18"/>
        <v>LH</v>
      </c>
      <c r="AL38" s="945" t="str">
        <f t="shared" si="19"/>
        <v/>
      </c>
      <c r="AM38" s="830">
        <f t="shared" si="20"/>
        <v>305</v>
      </c>
      <c r="AN38" s="830">
        <f t="shared" si="21"/>
        <v>180</v>
      </c>
      <c r="AO38" s="830" t="str">
        <f t="shared" si="22"/>
        <v/>
      </c>
      <c r="AP38" s="830" t="b">
        <f>IF(ISERROR(AJ38),FALSE,IF(OR(AJ38=0,ISERROR(AL38),ISERROR(AM38),ISERROR(AN38),ISERROR(AO38)),FALSE,IF(AL38&lt;&gt;"",IF(ISERROR(VLOOKUP(SUBSTITUTE(SUBSTITUTE(C38,"R",""),"A",""),TblJoistSize!$A:$A,1,FALSE)),FALSE,TRUE),TRUE)))</f>
        <v>1</v>
      </c>
      <c r="AQ38" s="1038">
        <f t="shared" si="23"/>
        <v>6</v>
      </c>
      <c r="AR38" s="945" t="b">
        <f t="shared" si="24"/>
        <v>1</v>
      </c>
      <c r="AS38" s="1038">
        <f t="shared" si="25"/>
        <v>6</v>
      </c>
      <c r="AT38" s="945" t="b">
        <f t="shared" si="26"/>
        <v>1</v>
      </c>
      <c r="AU38" s="946" t="str">
        <f t="shared" si="27"/>
        <v>LH</v>
      </c>
      <c r="AV38" s="830" t="str">
        <f t="shared" si="28"/>
        <v/>
      </c>
      <c r="AW38" s="830" t="str">
        <f t="shared" si="29"/>
        <v>LH</v>
      </c>
      <c r="AX38" s="830" t="str">
        <f t="shared" si="106"/>
        <v>J39</v>
      </c>
      <c r="AY38" s="1039" t="b">
        <f t="shared" si="30"/>
        <v>0</v>
      </c>
      <c r="AZ38" s="856" t="b">
        <f t="shared" si="31"/>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2"/>
        <v/>
      </c>
      <c r="BR38" s="910"/>
      <c r="BS38" s="672"/>
      <c r="BT38" s="713"/>
      <c r="BU38" s="714"/>
      <c r="BV38" s="1625"/>
      <c r="BW38" s="713"/>
      <c r="BX38" s="714"/>
      <c r="BY38" s="715"/>
      <c r="BZ38" s="716"/>
      <c r="CA38" s="680" t="str">
        <f>IF(ISERROR(DE38),"",IF(DE38="","",IF(VLOOKUP(BS38,SectInfo!$B:$N,10,FALSE)="","","X")))</f>
        <v/>
      </c>
      <c r="CB38" s="738"/>
      <c r="CC38" s="1551" t="str">
        <f t="shared" si="33"/>
        <v/>
      </c>
      <c r="CD38" s="910"/>
      <c r="CE38" s="717"/>
      <c r="CF38" s="736"/>
      <c r="CG38" s="737"/>
      <c r="CH38" s="591" t="str">
        <f t="shared" si="34"/>
        <v/>
      </c>
      <c r="CI38" s="592" t="str">
        <f t="shared" si="35"/>
        <v/>
      </c>
      <c r="CJ38" s="593" t="str">
        <f t="shared" si="36"/>
        <v/>
      </c>
      <c r="CK38" s="594" t="str">
        <f t="shared" si="37"/>
        <v/>
      </c>
      <c r="CL38" s="595" t="str">
        <f t="shared" si="38"/>
        <v/>
      </c>
      <c r="CM38" s="596" t="str">
        <f t="shared" si="39"/>
        <v/>
      </c>
      <c r="CN38" s="597" t="str">
        <f t="shared" si="40"/>
        <v/>
      </c>
      <c r="CO38" s="598" t="str">
        <f t="shared" si="41"/>
        <v/>
      </c>
      <c r="CP38" s="615" t="str">
        <f t="shared" si="42"/>
        <v/>
      </c>
      <c r="CQ38" s="616" t="str">
        <f t="shared" si="43"/>
        <v/>
      </c>
      <c r="CR38" s="750">
        <f t="shared" si="44"/>
        <v>5</v>
      </c>
      <c r="CS38" s="751">
        <f t="shared" si="45"/>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6"/>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47"/>
        <v>0</v>
      </c>
      <c r="DO38" s="818">
        <f t="shared" si="48"/>
        <v>0</v>
      </c>
      <c r="DP38" s="822" t="str">
        <f t="shared" si="49"/>
        <v/>
      </c>
      <c r="DQ38" s="822" t="str">
        <f t="shared" si="50"/>
        <v/>
      </c>
      <c r="DR38" s="822" t="str">
        <f t="shared" si="51"/>
        <v/>
      </c>
      <c r="DS38" s="821">
        <f t="shared" si="52"/>
        <v>0</v>
      </c>
      <c r="DT38" s="821">
        <f t="shared" si="53"/>
        <v>0</v>
      </c>
      <c r="DU38" s="821" t="str">
        <f t="shared" si="54"/>
        <v/>
      </c>
      <c r="DV38" s="822" t="str">
        <f t="shared" si="55"/>
        <v/>
      </c>
      <c r="DW38" s="856" t="str">
        <f t="shared" si="56"/>
        <v/>
      </c>
      <c r="DX38" s="1006">
        <f t="shared" si="57"/>
        <v>0</v>
      </c>
      <c r="DY38" s="822">
        <f t="shared" si="58"/>
        <v>0</v>
      </c>
      <c r="DZ38" s="821">
        <f t="shared" si="59"/>
        <v>0</v>
      </c>
      <c r="EA38" s="821" t="str">
        <f t="shared" si="60"/>
        <v/>
      </c>
      <c r="EB38" s="822" t="str">
        <f t="shared" si="61"/>
        <v/>
      </c>
      <c r="EC38" s="856" t="str">
        <f t="shared" si="62"/>
        <v/>
      </c>
      <c r="ED38" s="1006">
        <f t="shared" si="63"/>
        <v>0</v>
      </c>
      <c r="EE38" s="1293" t="str">
        <f t="shared" si="64"/>
        <v/>
      </c>
      <c r="EF38" s="1293" t="str">
        <f t="shared" si="65"/>
        <v/>
      </c>
      <c r="EG38" s="1293" t="str">
        <f t="shared" si="66"/>
        <v/>
      </c>
      <c r="EH38" s="856" t="str">
        <f t="shared" si="67"/>
        <v>ERR</v>
      </c>
      <c r="EI38" s="856" t="str">
        <f t="shared" si="68"/>
        <v>ERR</v>
      </c>
      <c r="EJ38" s="822" t="str">
        <f t="shared" si="69"/>
        <v/>
      </c>
      <c r="EK38" s="822" t="str">
        <f t="shared" si="69"/>
        <v/>
      </c>
      <c r="EL38" s="1293" t="str">
        <f t="shared" si="70"/>
        <v/>
      </c>
      <c r="EM38" s="822" t="str">
        <f t="shared" si="71"/>
        <v/>
      </c>
      <c r="EN38" s="822" t="str">
        <f t="shared" si="72"/>
        <v/>
      </c>
      <c r="EO38" s="856" t="str">
        <f t="shared" si="73"/>
        <v>ERR</v>
      </c>
      <c r="EP38" s="856" t="str">
        <f t="shared" si="74"/>
        <v>ERR</v>
      </c>
      <c r="EQ38" s="1293" t="str">
        <f t="shared" si="75"/>
        <v/>
      </c>
      <c r="ER38" s="822" t="str">
        <f t="shared" si="75"/>
        <v/>
      </c>
      <c r="ES38" s="822" t="str">
        <f t="shared" si="76"/>
        <v/>
      </c>
      <c r="ET38" s="822" t="str">
        <f t="shared" si="77"/>
        <v/>
      </c>
      <c r="EU38" s="829">
        <f t="shared" si="78"/>
        <v>4</v>
      </c>
      <c r="EV38" s="824" t="str">
        <f t="shared" si="79"/>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0"/>
        <v/>
      </c>
      <c r="FA38" s="829" t="str">
        <f>IF(AND(DE38="G", ISBLANK(BW38), ISBLANK(BX38)),VLOOKUP(MIN(BT38:BU38),TblJoistSize!$M$3:$N$10,2),IF(OR(DE38="B", DE38="G"),MIN(BW38:BX38),""))</f>
        <v/>
      </c>
      <c r="FB38" s="829" t="str">
        <f>IF(AND(DE38="G", ISBLANK(BW38), ISBLANK(BX38)),VLOOKUP(MAX(BT38:BU38),TblJoistSize!$M$3:$N$10,2),IF(OR(DE38="B", DE38="G"),MAX(BW38:BX38),""))</f>
        <v/>
      </c>
      <c r="FC38" s="829" t="str">
        <f t="shared" si="81"/>
        <v/>
      </c>
      <c r="FD38" s="821">
        <f t="shared" si="107"/>
        <v>0</v>
      </c>
      <c r="FE38" s="821">
        <f t="shared" si="82"/>
        <v>0</v>
      </c>
      <c r="FF38" s="821">
        <f t="shared" si="83"/>
        <v>0</v>
      </c>
      <c r="FG38" s="821" t="str">
        <f t="shared" si="84"/>
        <v/>
      </c>
      <c r="FH38" s="822" t="str">
        <f t="shared" si="85"/>
        <v/>
      </c>
      <c r="FI38" s="821">
        <f t="shared" si="108"/>
        <v>0</v>
      </c>
      <c r="FJ38" s="821">
        <f t="shared" si="86"/>
        <v>0</v>
      </c>
      <c r="FK38" s="821">
        <f t="shared" si="87"/>
        <v>0</v>
      </c>
      <c r="FL38" s="821" t="str">
        <f t="shared" si="88"/>
        <v/>
      </c>
      <c r="FM38" s="822" t="str">
        <f t="shared" si="89"/>
        <v/>
      </c>
      <c r="FN38" s="822" t="e">
        <f t="shared" si="90"/>
        <v>#VALUE!</v>
      </c>
      <c r="FO38" s="940" t="e">
        <f t="shared" si="91"/>
        <v>#VALUE!</v>
      </c>
      <c r="FP38" s="940" t="e">
        <f t="shared" si="92"/>
        <v>#VALUE!</v>
      </c>
      <c r="FQ38" s="830" t="e">
        <f t="shared" si="93"/>
        <v>#VALUE!</v>
      </c>
      <c r="FR38" s="831" t="e">
        <f t="shared" si="94"/>
        <v>#VALUE!</v>
      </c>
      <c r="FS38" s="832" t="str">
        <f t="shared" si="95"/>
        <v/>
      </c>
      <c r="FT38" s="833" t="str">
        <f t="shared" si="96"/>
        <v/>
      </c>
      <c r="FU38" s="870">
        <f t="shared" si="97"/>
        <v>0</v>
      </c>
      <c r="FV38" s="871">
        <f t="shared" si="98"/>
        <v>0</v>
      </c>
      <c r="GA38" s="1791">
        <v>40</v>
      </c>
      <c r="GB38" s="1792">
        <v>0</v>
      </c>
      <c r="GC38" s="1793">
        <v>-0.25</v>
      </c>
      <c r="GD38" s="1794">
        <v>-0.25</v>
      </c>
      <c r="GE38" s="1795">
        <f t="shared" si="99"/>
        <v>0</v>
      </c>
      <c r="GF38" s="600" t="str">
        <f t="shared" si="100"/>
        <v>J39</v>
      </c>
      <c r="GG38" s="1130">
        <v>0</v>
      </c>
      <c r="GH38" s="1131">
        <v>0</v>
      </c>
      <c r="GI38" s="1130"/>
      <c r="GJ38" s="1131"/>
      <c r="GK38" s="1638">
        <f t="shared" si="101"/>
        <v>479.5</v>
      </c>
      <c r="GL38" s="1636">
        <f t="shared" si="102"/>
        <v>479.5</v>
      </c>
      <c r="GM38" s="1637">
        <f>IF(ABS(GK38-GL38)&gt;='Job Info.'!$L$22,ABS(GK38-GL38),0)</f>
        <v>0</v>
      </c>
      <c r="HA38" s="1269" t="s">
        <v>1469</v>
      </c>
      <c r="HB38" s="1270">
        <v>2</v>
      </c>
      <c r="HC38" s="1270" t="s">
        <v>1592</v>
      </c>
      <c r="HD38" s="1271">
        <v>39</v>
      </c>
      <c r="HE38" s="1272">
        <v>11.5</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2.25</v>
      </c>
      <c r="HX38" s="1272">
        <v>4</v>
      </c>
      <c r="HY38" s="1272" t="s">
        <v>116</v>
      </c>
      <c r="HZ38" s="1272" t="s">
        <v>116</v>
      </c>
      <c r="IA38" s="1272" t="s">
        <v>1673</v>
      </c>
      <c r="IB38" s="1272"/>
      <c r="IC38" s="1272"/>
      <c r="ID38" s="1272"/>
      <c r="IE38" s="1272"/>
      <c r="IF38" s="1274"/>
    </row>
    <row r="39" spans="1:240" ht="12.6" customHeight="1" x14ac:dyDescent="0.25">
      <c r="A39" s="1448" t="s">
        <v>1470</v>
      </c>
      <c r="B39" s="1681">
        <v>2</v>
      </c>
      <c r="C39" s="1449" t="s">
        <v>1592</v>
      </c>
      <c r="D39" s="1705">
        <v>39</v>
      </c>
      <c r="E39" s="1706">
        <v>11.5</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103"/>
        <v/>
      </c>
      <c r="O39" s="1709" t="str">
        <f t="shared" si="104"/>
        <v/>
      </c>
      <c r="P39" s="1710" t="str">
        <f t="shared" si="105"/>
        <v/>
      </c>
      <c r="Q39" s="1705" t="str">
        <f t="shared" si="7"/>
        <v/>
      </c>
      <c r="R39" s="1709" t="str">
        <f t="shared" si="8"/>
        <v/>
      </c>
      <c r="S39" s="1711" t="str">
        <f t="shared" si="9"/>
        <v/>
      </c>
      <c r="T39" s="1714">
        <v>0</v>
      </c>
      <c r="U39" s="1709">
        <v>2.25</v>
      </c>
      <c r="V39" s="1705">
        <v>0</v>
      </c>
      <c r="W39" s="1709">
        <v>2.25</v>
      </c>
      <c r="X39" s="1713">
        <v>4</v>
      </c>
      <c r="Y39" s="1781" t="str">
        <f t="shared" si="10"/>
        <v/>
      </c>
      <c r="Z39" s="1782" t="str">
        <f t="shared" si="11"/>
        <v/>
      </c>
      <c r="AA39" s="1783" t="s">
        <v>1744</v>
      </c>
      <c r="AB39" s="1413"/>
      <c r="AC39" s="964" t="b">
        <v>0</v>
      </c>
      <c r="AD39" s="441">
        <f t="shared" si="12"/>
        <v>0</v>
      </c>
      <c r="AE39" s="442">
        <f t="shared" si="13"/>
        <v>2</v>
      </c>
      <c r="AF39" s="442">
        <f t="shared" si="14"/>
        <v>0</v>
      </c>
      <c r="AG39" s="442">
        <f t="shared" si="15"/>
        <v>0</v>
      </c>
      <c r="AH39" s="443">
        <f t="shared" si="16"/>
        <v>0</v>
      </c>
      <c r="AI39" s="444" t="b">
        <v>0</v>
      </c>
      <c r="AJ39" s="238">
        <f t="shared" si="17"/>
        <v>32</v>
      </c>
      <c r="AK39" s="830" t="str">
        <f t="shared" si="18"/>
        <v>LH</v>
      </c>
      <c r="AL39" s="945" t="str">
        <f t="shared" si="19"/>
        <v/>
      </c>
      <c r="AM39" s="830">
        <f t="shared" si="20"/>
        <v>305</v>
      </c>
      <c r="AN39" s="830">
        <f t="shared" si="21"/>
        <v>180</v>
      </c>
      <c r="AO39" s="830" t="str">
        <f t="shared" si="22"/>
        <v/>
      </c>
      <c r="AP39" s="830" t="b">
        <f>IF(ISERROR(AJ39),FALSE,IF(OR(AJ39=0,ISERROR(AL39),ISERROR(AM39),ISERROR(AN39),ISERROR(AO39)),FALSE,IF(AL39&lt;&gt;"",IF(ISERROR(VLOOKUP(SUBSTITUTE(SUBSTITUTE(C39,"R",""),"A",""),TblJoistSize!$A:$A,1,FALSE)),FALSE,TRUE),TRUE)))</f>
        <v>1</v>
      </c>
      <c r="AQ39" s="1038">
        <f t="shared" si="23"/>
        <v>6</v>
      </c>
      <c r="AR39" s="945" t="b">
        <f t="shared" si="24"/>
        <v>1</v>
      </c>
      <c r="AS39" s="1038">
        <f t="shared" si="25"/>
        <v>6</v>
      </c>
      <c r="AT39" s="945" t="b">
        <f t="shared" si="26"/>
        <v>1</v>
      </c>
      <c r="AU39" s="946" t="str">
        <f t="shared" si="27"/>
        <v>LH</v>
      </c>
      <c r="AV39" s="830" t="str">
        <f t="shared" si="28"/>
        <v/>
      </c>
      <c r="AW39" s="830" t="str">
        <f t="shared" si="29"/>
        <v>LH</v>
      </c>
      <c r="AX39" s="830" t="str">
        <f t="shared" si="106"/>
        <v>J40</v>
      </c>
      <c r="AY39" s="1039" t="b">
        <f t="shared" si="30"/>
        <v>0</v>
      </c>
      <c r="AZ39" s="856" t="b">
        <f t="shared" si="31"/>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2"/>
        <v/>
      </c>
      <c r="BR39" s="910"/>
      <c r="BS39" s="672"/>
      <c r="BT39" s="713"/>
      <c r="BU39" s="714"/>
      <c r="BV39" s="1625"/>
      <c r="BW39" s="713"/>
      <c r="BX39" s="714"/>
      <c r="BY39" s="715"/>
      <c r="BZ39" s="716"/>
      <c r="CA39" s="680" t="str">
        <f>IF(ISERROR(DE39),"",IF(DE39="","",IF(VLOOKUP(BS39,SectInfo!$B:$N,10,FALSE)="","","X")))</f>
        <v/>
      </c>
      <c r="CB39" s="738"/>
      <c r="CC39" s="1551" t="str">
        <f t="shared" si="33"/>
        <v/>
      </c>
      <c r="CD39" s="910"/>
      <c r="CE39" s="717"/>
      <c r="CF39" s="736"/>
      <c r="CG39" s="737"/>
      <c r="CH39" s="591" t="str">
        <f t="shared" si="34"/>
        <v/>
      </c>
      <c r="CI39" s="592" t="str">
        <f t="shared" si="35"/>
        <v/>
      </c>
      <c r="CJ39" s="593" t="str">
        <f t="shared" si="36"/>
        <v/>
      </c>
      <c r="CK39" s="594" t="str">
        <f t="shared" si="37"/>
        <v/>
      </c>
      <c r="CL39" s="595" t="str">
        <f t="shared" si="38"/>
        <v/>
      </c>
      <c r="CM39" s="596" t="str">
        <f t="shared" si="39"/>
        <v/>
      </c>
      <c r="CN39" s="597" t="str">
        <f t="shared" si="40"/>
        <v/>
      </c>
      <c r="CO39" s="598" t="str">
        <f t="shared" si="41"/>
        <v/>
      </c>
      <c r="CP39" s="615" t="str">
        <f t="shared" si="42"/>
        <v/>
      </c>
      <c r="CQ39" s="616" t="str">
        <f t="shared" si="43"/>
        <v/>
      </c>
      <c r="CR39" s="750">
        <f t="shared" si="44"/>
        <v>5</v>
      </c>
      <c r="CS39" s="751">
        <f t="shared" si="45"/>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6"/>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47"/>
        <v>0</v>
      </c>
      <c r="DO39" s="818">
        <f t="shared" si="48"/>
        <v>0</v>
      </c>
      <c r="DP39" s="822" t="str">
        <f t="shared" si="49"/>
        <v/>
      </c>
      <c r="DQ39" s="822" t="str">
        <f t="shared" si="50"/>
        <v/>
      </c>
      <c r="DR39" s="822" t="str">
        <f t="shared" si="51"/>
        <v/>
      </c>
      <c r="DS39" s="821">
        <f t="shared" si="52"/>
        <v>0</v>
      </c>
      <c r="DT39" s="821">
        <f t="shared" si="53"/>
        <v>0</v>
      </c>
      <c r="DU39" s="821" t="str">
        <f t="shared" si="54"/>
        <v/>
      </c>
      <c r="DV39" s="822" t="str">
        <f t="shared" si="55"/>
        <v/>
      </c>
      <c r="DW39" s="856" t="str">
        <f t="shared" si="56"/>
        <v/>
      </c>
      <c r="DX39" s="1006">
        <f t="shared" si="57"/>
        <v>0</v>
      </c>
      <c r="DY39" s="822">
        <f t="shared" si="58"/>
        <v>0</v>
      </c>
      <c r="DZ39" s="821">
        <f t="shared" si="59"/>
        <v>0</v>
      </c>
      <c r="EA39" s="821" t="str">
        <f t="shared" si="60"/>
        <v/>
      </c>
      <c r="EB39" s="822" t="str">
        <f t="shared" si="61"/>
        <v/>
      </c>
      <c r="EC39" s="856" t="str">
        <f t="shared" si="62"/>
        <v/>
      </c>
      <c r="ED39" s="1006">
        <f t="shared" si="63"/>
        <v>0</v>
      </c>
      <c r="EE39" s="1293" t="str">
        <f t="shared" si="64"/>
        <v/>
      </c>
      <c r="EF39" s="1293" t="str">
        <f t="shared" si="65"/>
        <v/>
      </c>
      <c r="EG39" s="1293" t="str">
        <f t="shared" si="66"/>
        <v/>
      </c>
      <c r="EH39" s="856" t="str">
        <f t="shared" si="67"/>
        <v>ERR</v>
      </c>
      <c r="EI39" s="856" t="str">
        <f t="shared" si="68"/>
        <v>ERR</v>
      </c>
      <c r="EJ39" s="822" t="str">
        <f t="shared" si="69"/>
        <v/>
      </c>
      <c r="EK39" s="822" t="str">
        <f t="shared" si="69"/>
        <v/>
      </c>
      <c r="EL39" s="1293" t="str">
        <f t="shared" si="70"/>
        <v/>
      </c>
      <c r="EM39" s="822" t="str">
        <f t="shared" si="71"/>
        <v/>
      </c>
      <c r="EN39" s="822" t="str">
        <f t="shared" si="72"/>
        <v/>
      </c>
      <c r="EO39" s="856" t="str">
        <f t="shared" si="73"/>
        <v>ERR</v>
      </c>
      <c r="EP39" s="856" t="str">
        <f t="shared" si="74"/>
        <v>ERR</v>
      </c>
      <c r="EQ39" s="1293" t="str">
        <f t="shared" si="75"/>
        <v/>
      </c>
      <c r="ER39" s="822" t="str">
        <f t="shared" si="75"/>
        <v/>
      </c>
      <c r="ES39" s="822" t="str">
        <f t="shared" si="76"/>
        <v/>
      </c>
      <c r="ET39" s="822" t="str">
        <f t="shared" si="77"/>
        <v/>
      </c>
      <c r="EU39" s="829">
        <f t="shared" si="78"/>
        <v>4</v>
      </c>
      <c r="EV39" s="824" t="str">
        <f t="shared" si="79"/>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0"/>
        <v/>
      </c>
      <c r="FA39" s="829" t="str">
        <f>IF(AND(DE39="G", ISBLANK(BW39), ISBLANK(BX39)),VLOOKUP(MIN(BT39:BU39),TblJoistSize!$M$3:$N$10,2),IF(OR(DE39="B", DE39="G"),MIN(BW39:BX39),""))</f>
        <v/>
      </c>
      <c r="FB39" s="829" t="str">
        <f>IF(AND(DE39="G", ISBLANK(BW39), ISBLANK(BX39)),VLOOKUP(MAX(BT39:BU39),TblJoistSize!$M$3:$N$10,2),IF(OR(DE39="B", DE39="G"),MAX(BW39:BX39),""))</f>
        <v/>
      </c>
      <c r="FC39" s="829" t="str">
        <f t="shared" si="81"/>
        <v/>
      </c>
      <c r="FD39" s="821">
        <f t="shared" si="107"/>
        <v>0</v>
      </c>
      <c r="FE39" s="821">
        <f t="shared" si="82"/>
        <v>0</v>
      </c>
      <c r="FF39" s="821">
        <f t="shared" si="83"/>
        <v>0</v>
      </c>
      <c r="FG39" s="821" t="str">
        <f t="shared" si="84"/>
        <v/>
      </c>
      <c r="FH39" s="822" t="str">
        <f t="shared" si="85"/>
        <v/>
      </c>
      <c r="FI39" s="821">
        <f t="shared" si="108"/>
        <v>0</v>
      </c>
      <c r="FJ39" s="821">
        <f t="shared" si="86"/>
        <v>0</v>
      </c>
      <c r="FK39" s="821">
        <f t="shared" si="87"/>
        <v>0</v>
      </c>
      <c r="FL39" s="821" t="str">
        <f t="shared" si="88"/>
        <v/>
      </c>
      <c r="FM39" s="822" t="str">
        <f t="shared" si="89"/>
        <v/>
      </c>
      <c r="FN39" s="822" t="e">
        <f t="shared" si="90"/>
        <v>#VALUE!</v>
      </c>
      <c r="FO39" s="940" t="e">
        <f t="shared" si="91"/>
        <v>#VALUE!</v>
      </c>
      <c r="FP39" s="940" t="e">
        <f t="shared" si="92"/>
        <v>#VALUE!</v>
      </c>
      <c r="FQ39" s="830" t="e">
        <f t="shared" si="93"/>
        <v>#VALUE!</v>
      </c>
      <c r="FR39" s="831" t="e">
        <f t="shared" si="94"/>
        <v>#VALUE!</v>
      </c>
      <c r="FS39" s="832" t="str">
        <f t="shared" si="95"/>
        <v/>
      </c>
      <c r="FT39" s="833" t="str">
        <f t="shared" si="96"/>
        <v/>
      </c>
      <c r="FU39" s="870">
        <f t="shared" si="97"/>
        <v>0</v>
      </c>
      <c r="FV39" s="871">
        <f t="shared" si="98"/>
        <v>0</v>
      </c>
      <c r="GA39" s="1791">
        <v>40</v>
      </c>
      <c r="GB39" s="1792">
        <v>0</v>
      </c>
      <c r="GC39" s="1793">
        <v>-0.25</v>
      </c>
      <c r="GD39" s="1794">
        <v>-0.25</v>
      </c>
      <c r="GE39" s="1795">
        <f t="shared" si="99"/>
        <v>0</v>
      </c>
      <c r="GF39" s="600" t="str">
        <f t="shared" si="100"/>
        <v>J40</v>
      </c>
      <c r="GG39" s="1130">
        <v>0</v>
      </c>
      <c r="GH39" s="1131">
        <v>0</v>
      </c>
      <c r="GI39" s="1130"/>
      <c r="GJ39" s="1131"/>
      <c r="GK39" s="1638">
        <f t="shared" si="101"/>
        <v>479.5</v>
      </c>
      <c r="GL39" s="1636">
        <f t="shared" si="102"/>
        <v>479.5</v>
      </c>
      <c r="GM39" s="1637">
        <f>IF(ABS(GK39-GL39)&gt;='Job Info.'!$L$22,ABS(GK39-GL39),0)</f>
        <v>0</v>
      </c>
      <c r="HA39" s="1269" t="s">
        <v>1470</v>
      </c>
      <c r="HB39" s="1270">
        <v>2</v>
      </c>
      <c r="HC39" s="1270" t="s">
        <v>1592</v>
      </c>
      <c r="HD39" s="1271">
        <v>39</v>
      </c>
      <c r="HE39" s="1272">
        <v>11.5</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2.25</v>
      </c>
      <c r="HX39" s="1272">
        <v>4</v>
      </c>
      <c r="HY39" s="1272" t="s">
        <v>116</v>
      </c>
      <c r="HZ39" s="1272" t="s">
        <v>116</v>
      </c>
      <c r="IA39" s="1272" t="s">
        <v>1674</v>
      </c>
      <c r="IB39" s="1272"/>
      <c r="IC39" s="1272"/>
      <c r="ID39" s="1272"/>
      <c r="IE39" s="1272"/>
      <c r="IF39" s="1274"/>
    </row>
    <row r="40" spans="1:240" ht="12.6" customHeight="1" x14ac:dyDescent="0.25">
      <c r="A40" s="1448" t="s">
        <v>1471</v>
      </c>
      <c r="B40" s="1681">
        <v>2</v>
      </c>
      <c r="C40" s="1449" t="s">
        <v>1592</v>
      </c>
      <c r="D40" s="1705">
        <v>39</v>
      </c>
      <c r="E40" s="1706">
        <v>11.5</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103"/>
        <v/>
      </c>
      <c r="O40" s="1709" t="str">
        <f t="shared" si="104"/>
        <v/>
      </c>
      <c r="P40" s="1710" t="str">
        <f t="shared" si="105"/>
        <v/>
      </c>
      <c r="Q40" s="1705" t="str">
        <f t="shared" si="7"/>
        <v/>
      </c>
      <c r="R40" s="1709" t="str">
        <f t="shared" si="8"/>
        <v/>
      </c>
      <c r="S40" s="1711" t="str">
        <f t="shared" si="9"/>
        <v/>
      </c>
      <c r="T40" s="1714">
        <v>0</v>
      </c>
      <c r="U40" s="1709">
        <v>2.25</v>
      </c>
      <c r="V40" s="1705">
        <v>0</v>
      </c>
      <c r="W40" s="1709">
        <v>2.25</v>
      </c>
      <c r="X40" s="1713">
        <v>4</v>
      </c>
      <c r="Y40" s="1781" t="str">
        <f t="shared" si="10"/>
        <v/>
      </c>
      <c r="Z40" s="1782" t="str">
        <f t="shared" si="11"/>
        <v/>
      </c>
      <c r="AA40" s="1783" t="s">
        <v>1745</v>
      </c>
      <c r="AB40" s="1413"/>
      <c r="AC40" s="964" t="b">
        <v>0</v>
      </c>
      <c r="AD40" s="441">
        <f t="shared" si="12"/>
        <v>0</v>
      </c>
      <c r="AE40" s="442">
        <f t="shared" si="13"/>
        <v>2</v>
      </c>
      <c r="AF40" s="442">
        <f t="shared" si="14"/>
        <v>0</v>
      </c>
      <c r="AG40" s="442">
        <f t="shared" si="15"/>
        <v>0</v>
      </c>
      <c r="AH40" s="443">
        <f t="shared" si="16"/>
        <v>0</v>
      </c>
      <c r="AI40" s="444" t="b">
        <v>0</v>
      </c>
      <c r="AJ40" s="238">
        <f t="shared" si="17"/>
        <v>32</v>
      </c>
      <c r="AK40" s="830" t="str">
        <f t="shared" si="18"/>
        <v>LH</v>
      </c>
      <c r="AL40" s="945" t="str">
        <f t="shared" si="19"/>
        <v/>
      </c>
      <c r="AM40" s="830">
        <f t="shared" si="20"/>
        <v>305</v>
      </c>
      <c r="AN40" s="830">
        <f t="shared" si="21"/>
        <v>180</v>
      </c>
      <c r="AO40" s="830" t="str">
        <f t="shared" si="22"/>
        <v/>
      </c>
      <c r="AP40" s="830" t="b">
        <f>IF(ISERROR(AJ40),FALSE,IF(OR(AJ40=0,ISERROR(AL40),ISERROR(AM40),ISERROR(AN40),ISERROR(AO40)),FALSE,IF(AL40&lt;&gt;"",IF(ISERROR(VLOOKUP(SUBSTITUTE(SUBSTITUTE(C40,"R",""),"A",""),TblJoistSize!$A:$A,1,FALSE)),FALSE,TRUE),TRUE)))</f>
        <v>1</v>
      </c>
      <c r="AQ40" s="1038">
        <f t="shared" si="23"/>
        <v>6</v>
      </c>
      <c r="AR40" s="945" t="b">
        <f t="shared" si="24"/>
        <v>1</v>
      </c>
      <c r="AS40" s="1038">
        <f t="shared" si="25"/>
        <v>6</v>
      </c>
      <c r="AT40" s="945" t="b">
        <f t="shared" si="26"/>
        <v>1</v>
      </c>
      <c r="AU40" s="946" t="str">
        <f t="shared" si="27"/>
        <v>LH</v>
      </c>
      <c r="AV40" s="830" t="str">
        <f t="shared" si="28"/>
        <v/>
      </c>
      <c r="AW40" s="830" t="str">
        <f t="shared" si="29"/>
        <v>LH</v>
      </c>
      <c r="AX40" s="830" t="str">
        <f t="shared" si="106"/>
        <v>J41</v>
      </c>
      <c r="AY40" s="1039" t="b">
        <f t="shared" si="30"/>
        <v>0</v>
      </c>
      <c r="AZ40" s="856" t="b">
        <f t="shared" si="31"/>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2"/>
        <v/>
      </c>
      <c r="BR40" s="910"/>
      <c r="BS40" s="672"/>
      <c r="BT40" s="713"/>
      <c r="BU40" s="714"/>
      <c r="BV40" s="1625"/>
      <c r="BW40" s="713"/>
      <c r="BX40" s="714"/>
      <c r="BY40" s="715"/>
      <c r="BZ40" s="716"/>
      <c r="CA40" s="680" t="str">
        <f>IF(ISERROR(DE40),"",IF(DE40="","",IF(VLOOKUP(BS40,SectInfo!$B:$N,10,FALSE)="","","X")))</f>
        <v/>
      </c>
      <c r="CB40" s="738"/>
      <c r="CC40" s="1551" t="str">
        <f t="shared" si="33"/>
        <v/>
      </c>
      <c r="CD40" s="910"/>
      <c r="CE40" s="717"/>
      <c r="CF40" s="736"/>
      <c r="CG40" s="737"/>
      <c r="CH40" s="591" t="str">
        <f t="shared" si="34"/>
        <v/>
      </c>
      <c r="CI40" s="592" t="str">
        <f t="shared" si="35"/>
        <v/>
      </c>
      <c r="CJ40" s="593" t="str">
        <f t="shared" si="36"/>
        <v/>
      </c>
      <c r="CK40" s="594" t="str">
        <f t="shared" si="37"/>
        <v/>
      </c>
      <c r="CL40" s="595" t="str">
        <f t="shared" si="38"/>
        <v/>
      </c>
      <c r="CM40" s="596" t="str">
        <f t="shared" si="39"/>
        <v/>
      </c>
      <c r="CN40" s="597" t="str">
        <f t="shared" si="40"/>
        <v/>
      </c>
      <c r="CO40" s="598" t="str">
        <f t="shared" si="41"/>
        <v/>
      </c>
      <c r="CP40" s="615" t="str">
        <f t="shared" si="42"/>
        <v/>
      </c>
      <c r="CQ40" s="616" t="str">
        <f t="shared" si="43"/>
        <v/>
      </c>
      <c r="CR40" s="750">
        <f t="shared" si="44"/>
        <v>5</v>
      </c>
      <c r="CS40" s="751">
        <f t="shared" si="45"/>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6"/>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47"/>
        <v>0</v>
      </c>
      <c r="DO40" s="818">
        <f t="shared" si="48"/>
        <v>0</v>
      </c>
      <c r="DP40" s="822" t="str">
        <f t="shared" si="49"/>
        <v/>
      </c>
      <c r="DQ40" s="822" t="str">
        <f t="shared" si="50"/>
        <v/>
      </c>
      <c r="DR40" s="822" t="str">
        <f t="shared" si="51"/>
        <v/>
      </c>
      <c r="DS40" s="821">
        <f t="shared" si="52"/>
        <v>0</v>
      </c>
      <c r="DT40" s="821">
        <f t="shared" si="53"/>
        <v>0</v>
      </c>
      <c r="DU40" s="821" t="str">
        <f t="shared" si="54"/>
        <v/>
      </c>
      <c r="DV40" s="822" t="str">
        <f t="shared" si="55"/>
        <v/>
      </c>
      <c r="DW40" s="856" t="str">
        <f t="shared" si="56"/>
        <v/>
      </c>
      <c r="DX40" s="1006">
        <f t="shared" si="57"/>
        <v>0</v>
      </c>
      <c r="DY40" s="822">
        <f t="shared" si="58"/>
        <v>0</v>
      </c>
      <c r="DZ40" s="821">
        <f t="shared" si="59"/>
        <v>0</v>
      </c>
      <c r="EA40" s="821" t="str">
        <f t="shared" si="60"/>
        <v/>
      </c>
      <c r="EB40" s="822" t="str">
        <f t="shared" si="61"/>
        <v/>
      </c>
      <c r="EC40" s="856" t="str">
        <f t="shared" si="62"/>
        <v/>
      </c>
      <c r="ED40" s="1006">
        <f t="shared" si="63"/>
        <v>0</v>
      </c>
      <c r="EE40" s="1293" t="str">
        <f t="shared" si="64"/>
        <v/>
      </c>
      <c r="EF40" s="1293" t="str">
        <f t="shared" si="65"/>
        <v/>
      </c>
      <c r="EG40" s="1293" t="str">
        <f t="shared" si="66"/>
        <v/>
      </c>
      <c r="EH40" s="856" t="str">
        <f t="shared" si="67"/>
        <v>ERR</v>
      </c>
      <c r="EI40" s="856" t="str">
        <f t="shared" si="68"/>
        <v>ERR</v>
      </c>
      <c r="EJ40" s="822" t="str">
        <f t="shared" si="69"/>
        <v/>
      </c>
      <c r="EK40" s="822" t="str">
        <f t="shared" si="69"/>
        <v/>
      </c>
      <c r="EL40" s="1293" t="str">
        <f t="shared" si="70"/>
        <v/>
      </c>
      <c r="EM40" s="822" t="str">
        <f t="shared" si="71"/>
        <v/>
      </c>
      <c r="EN40" s="822" t="str">
        <f t="shared" si="72"/>
        <v/>
      </c>
      <c r="EO40" s="856" t="str">
        <f t="shared" si="73"/>
        <v>ERR</v>
      </c>
      <c r="EP40" s="856" t="str">
        <f t="shared" si="74"/>
        <v>ERR</v>
      </c>
      <c r="EQ40" s="1293" t="str">
        <f t="shared" si="75"/>
        <v/>
      </c>
      <c r="ER40" s="822" t="str">
        <f t="shared" si="75"/>
        <v/>
      </c>
      <c r="ES40" s="822" t="str">
        <f t="shared" si="76"/>
        <v/>
      </c>
      <c r="ET40" s="822" t="str">
        <f t="shared" si="77"/>
        <v/>
      </c>
      <c r="EU40" s="829">
        <f t="shared" si="78"/>
        <v>4</v>
      </c>
      <c r="EV40" s="824" t="str">
        <f t="shared" si="79"/>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0"/>
        <v/>
      </c>
      <c r="FA40" s="829" t="str">
        <f>IF(AND(DE40="G", ISBLANK(BW40), ISBLANK(BX40)),VLOOKUP(MIN(BT40:BU40),TblJoistSize!$M$3:$N$10,2),IF(OR(DE40="B", DE40="G"),MIN(BW40:BX40),""))</f>
        <v/>
      </c>
      <c r="FB40" s="829" t="str">
        <f>IF(AND(DE40="G", ISBLANK(BW40), ISBLANK(BX40)),VLOOKUP(MAX(BT40:BU40),TblJoistSize!$M$3:$N$10,2),IF(OR(DE40="B", DE40="G"),MAX(BW40:BX40),""))</f>
        <v/>
      </c>
      <c r="FC40" s="829" t="str">
        <f t="shared" si="81"/>
        <v/>
      </c>
      <c r="FD40" s="821">
        <f t="shared" si="107"/>
        <v>0</v>
      </c>
      <c r="FE40" s="821">
        <f t="shared" si="82"/>
        <v>0</v>
      </c>
      <c r="FF40" s="821">
        <f t="shared" si="83"/>
        <v>0</v>
      </c>
      <c r="FG40" s="821" t="str">
        <f t="shared" si="84"/>
        <v/>
      </c>
      <c r="FH40" s="822" t="str">
        <f t="shared" si="85"/>
        <v/>
      </c>
      <c r="FI40" s="821">
        <f t="shared" si="108"/>
        <v>0</v>
      </c>
      <c r="FJ40" s="821">
        <f t="shared" si="86"/>
        <v>0</v>
      </c>
      <c r="FK40" s="821">
        <f t="shared" si="87"/>
        <v>0</v>
      </c>
      <c r="FL40" s="821" t="str">
        <f t="shared" si="88"/>
        <v/>
      </c>
      <c r="FM40" s="822" t="str">
        <f t="shared" si="89"/>
        <v/>
      </c>
      <c r="FN40" s="822" t="e">
        <f t="shared" si="90"/>
        <v>#VALUE!</v>
      </c>
      <c r="FO40" s="940" t="e">
        <f t="shared" si="91"/>
        <v>#VALUE!</v>
      </c>
      <c r="FP40" s="940" t="e">
        <f t="shared" si="92"/>
        <v>#VALUE!</v>
      </c>
      <c r="FQ40" s="830" t="e">
        <f t="shared" si="93"/>
        <v>#VALUE!</v>
      </c>
      <c r="FR40" s="831" t="e">
        <f t="shared" si="94"/>
        <v>#VALUE!</v>
      </c>
      <c r="FS40" s="832" t="str">
        <f t="shared" si="95"/>
        <v/>
      </c>
      <c r="FT40" s="833" t="str">
        <f t="shared" si="96"/>
        <v/>
      </c>
      <c r="FU40" s="870">
        <f t="shared" si="97"/>
        <v>0</v>
      </c>
      <c r="FV40" s="871">
        <f t="shared" si="98"/>
        <v>0</v>
      </c>
      <c r="GA40" s="1791">
        <v>40</v>
      </c>
      <c r="GB40" s="1792">
        <v>0</v>
      </c>
      <c r="GC40" s="1793">
        <v>-0.25</v>
      </c>
      <c r="GD40" s="1794">
        <v>-0.25</v>
      </c>
      <c r="GE40" s="1795">
        <f t="shared" si="99"/>
        <v>0</v>
      </c>
      <c r="GF40" s="600" t="str">
        <f t="shared" si="100"/>
        <v>J41</v>
      </c>
      <c r="GG40" s="1130">
        <v>0</v>
      </c>
      <c r="GH40" s="1131">
        <v>0</v>
      </c>
      <c r="GI40" s="1130"/>
      <c r="GJ40" s="1131"/>
      <c r="GK40" s="1638">
        <f t="shared" si="101"/>
        <v>479.5</v>
      </c>
      <c r="GL40" s="1636">
        <f t="shared" si="102"/>
        <v>479.5</v>
      </c>
      <c r="GM40" s="1637">
        <f>IF(ABS(GK40-GL40)&gt;='Job Info.'!$L$22,ABS(GK40-GL40),0)</f>
        <v>0</v>
      </c>
      <c r="HA40" s="1269" t="s">
        <v>1471</v>
      </c>
      <c r="HB40" s="1270">
        <v>2</v>
      </c>
      <c r="HC40" s="1270" t="s">
        <v>1592</v>
      </c>
      <c r="HD40" s="1271">
        <v>39</v>
      </c>
      <c r="HE40" s="1272">
        <v>11.5</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2.25</v>
      </c>
      <c r="HX40" s="1272">
        <v>4</v>
      </c>
      <c r="HY40" s="1272" t="s">
        <v>116</v>
      </c>
      <c r="HZ40" s="1272" t="s">
        <v>116</v>
      </c>
      <c r="IA40" s="1272" t="s">
        <v>1675</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103"/>
        <v/>
      </c>
      <c r="O41" s="1709" t="str">
        <f t="shared" si="104"/>
        <v/>
      </c>
      <c r="P41" s="1710" t="str">
        <f t="shared" si="105"/>
        <v/>
      </c>
      <c r="Q41" s="1705" t="str">
        <f t="shared" si="7"/>
        <v/>
      </c>
      <c r="R41" s="1709" t="str">
        <f t="shared" si="8"/>
        <v/>
      </c>
      <c r="S41" s="1711" t="str">
        <f t="shared" si="9"/>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0"/>
        <v/>
      </c>
      <c r="Z41" s="1782" t="str">
        <f t="shared" si="11"/>
        <v/>
      </c>
      <c r="AA41" s="1783" t="s">
        <v>116</v>
      </c>
      <c r="AB41" s="1413"/>
      <c r="AC41" s="964" t="b">
        <v>0</v>
      </c>
      <c r="AD41" s="441">
        <f t="shared" si="12"/>
        <v>0</v>
      </c>
      <c r="AE41" s="442">
        <f t="shared" si="13"/>
        <v>0</v>
      </c>
      <c r="AF41" s="442">
        <f t="shared" si="14"/>
        <v>0</v>
      </c>
      <c r="AG41" s="442">
        <f t="shared" si="15"/>
        <v>0</v>
      </c>
      <c r="AH41" s="443">
        <f t="shared" si="16"/>
        <v>0</v>
      </c>
      <c r="AI41" s="444" t="b">
        <v>0</v>
      </c>
      <c r="AJ41" s="238">
        <f t="shared" si="17"/>
        <v>0</v>
      </c>
      <c r="AK41" s="830" t="str">
        <f t="shared" si="18"/>
        <v/>
      </c>
      <c r="AL41" s="945" t="str">
        <f t="shared" si="19"/>
        <v/>
      </c>
      <c r="AM41" s="830" t="str">
        <f t="shared" si="20"/>
        <v/>
      </c>
      <c r="AN41" s="830" t="str">
        <f t="shared" si="21"/>
        <v/>
      </c>
      <c r="AO41" s="830" t="str">
        <f t="shared" si="22"/>
        <v/>
      </c>
      <c r="AP41" s="830" t="b">
        <f>IF(ISERROR(AJ41),FALSE,IF(OR(AJ41=0,ISERROR(AL41),ISERROR(AM41),ISERROR(AN41),ISERROR(AO41)),FALSE,IF(AL41&lt;&gt;"",IF(ISERROR(VLOOKUP(SUBSTITUTE(SUBSTITUTE(C41,"R",""),"A",""),TblJoistSize!$A:$A,1,FALSE)),FALSE,TRUE),TRUE)))</f>
        <v>0</v>
      </c>
      <c r="AQ41" s="1038" t="e">
        <f t="shared" si="23"/>
        <v>#N/A</v>
      </c>
      <c r="AR41" s="945" t="b">
        <f t="shared" si="24"/>
        <v>0</v>
      </c>
      <c r="AS41" s="1038" t="e">
        <f t="shared" si="25"/>
        <v>#N/A</v>
      </c>
      <c r="AT41" s="945" t="b">
        <f t="shared" si="26"/>
        <v>0</v>
      </c>
      <c r="AU41" s="946" t="str">
        <f t="shared" si="27"/>
        <v/>
      </c>
      <c r="AV41" s="830" t="str">
        <f t="shared" si="28"/>
        <v/>
      </c>
      <c r="AW41" s="830" t="str">
        <f t="shared" si="29"/>
        <v/>
      </c>
      <c r="AX41" s="830" t="str">
        <f t="shared" si="106"/>
        <v/>
      </c>
      <c r="AY41" s="1039" t="b">
        <f t="shared" si="30"/>
        <v>0</v>
      </c>
      <c r="AZ41" s="856" t="str">
        <f t="shared" si="31"/>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2"/>
        <v/>
      </c>
      <c r="BR41" s="910"/>
      <c r="BS41" s="672"/>
      <c r="BT41" s="713"/>
      <c r="BU41" s="714"/>
      <c r="BV41" s="1625"/>
      <c r="BW41" s="713"/>
      <c r="BX41" s="714"/>
      <c r="BY41" s="715"/>
      <c r="BZ41" s="716"/>
      <c r="CA41" s="680" t="str">
        <f>IF(ISERROR(DE41),"",IF(DE41="","",IF(VLOOKUP(BS41,SectInfo!$B:$N,10,FALSE)="","","X")))</f>
        <v/>
      </c>
      <c r="CB41" s="738"/>
      <c r="CC41" s="1551" t="str">
        <f t="shared" si="33"/>
        <v/>
      </c>
      <c r="CD41" s="910"/>
      <c r="CE41" s="717"/>
      <c r="CF41" s="736"/>
      <c r="CG41" s="737"/>
      <c r="CH41" s="591" t="str">
        <f t="shared" si="34"/>
        <v/>
      </c>
      <c r="CI41" s="592" t="str">
        <f t="shared" si="35"/>
        <v/>
      </c>
      <c r="CJ41" s="593" t="str">
        <f t="shared" si="36"/>
        <v/>
      </c>
      <c r="CK41" s="594" t="str">
        <f t="shared" si="37"/>
        <v/>
      </c>
      <c r="CL41" s="595" t="str">
        <f t="shared" si="38"/>
        <v/>
      </c>
      <c r="CM41" s="596" t="str">
        <f t="shared" si="39"/>
        <v/>
      </c>
      <c r="CN41" s="597" t="str">
        <f t="shared" si="40"/>
        <v/>
      </c>
      <c r="CO41" s="598" t="str">
        <f t="shared" si="41"/>
        <v/>
      </c>
      <c r="CP41" s="615" t="str">
        <f t="shared" si="42"/>
        <v/>
      </c>
      <c r="CQ41" s="616" t="str">
        <f t="shared" si="43"/>
        <v/>
      </c>
      <c r="CR41" s="750" t="str">
        <f t="shared" si="44"/>
        <v/>
      </c>
      <c r="CS41" s="751" t="str">
        <f t="shared" si="45"/>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6"/>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47"/>
        <v>0</v>
      </c>
      <c r="DO41" s="818">
        <f t="shared" si="48"/>
        <v>0</v>
      </c>
      <c r="DP41" s="822" t="str">
        <f t="shared" si="49"/>
        <v/>
      </c>
      <c r="DQ41" s="822" t="str">
        <f t="shared" si="50"/>
        <v/>
      </c>
      <c r="DR41" s="822" t="str">
        <f t="shared" si="51"/>
        <v/>
      </c>
      <c r="DS41" s="821">
        <f t="shared" si="52"/>
        <v>0</v>
      </c>
      <c r="DT41" s="821">
        <f t="shared" si="53"/>
        <v>0</v>
      </c>
      <c r="DU41" s="821" t="str">
        <f t="shared" si="54"/>
        <v/>
      </c>
      <c r="DV41" s="822" t="str">
        <f t="shared" si="55"/>
        <v/>
      </c>
      <c r="DW41" s="856" t="str">
        <f t="shared" si="56"/>
        <v/>
      </c>
      <c r="DX41" s="1006">
        <f t="shared" si="57"/>
        <v>0</v>
      </c>
      <c r="DY41" s="822">
        <f t="shared" si="58"/>
        <v>0</v>
      </c>
      <c r="DZ41" s="821">
        <f t="shared" si="59"/>
        <v>0</v>
      </c>
      <c r="EA41" s="821" t="str">
        <f t="shared" si="60"/>
        <v/>
      </c>
      <c r="EB41" s="822" t="str">
        <f t="shared" si="61"/>
        <v/>
      </c>
      <c r="EC41" s="856" t="str">
        <f t="shared" si="62"/>
        <v/>
      </c>
      <c r="ED41" s="1006">
        <f t="shared" si="63"/>
        <v>0</v>
      </c>
      <c r="EE41" s="1293" t="str">
        <f t="shared" si="64"/>
        <v/>
      </c>
      <c r="EF41" s="1293" t="str">
        <f t="shared" si="65"/>
        <v/>
      </c>
      <c r="EG41" s="1293" t="str">
        <f t="shared" si="66"/>
        <v/>
      </c>
      <c r="EH41" s="856" t="e">
        <f t="shared" si="67"/>
        <v>#N/A</v>
      </c>
      <c r="EI41" s="856" t="e">
        <f t="shared" si="68"/>
        <v>#N/A</v>
      </c>
      <c r="EJ41" s="822" t="str">
        <f t="shared" si="69"/>
        <v/>
      </c>
      <c r="EK41" s="822" t="str">
        <f t="shared" si="69"/>
        <v/>
      </c>
      <c r="EL41" s="1293" t="str">
        <f t="shared" si="70"/>
        <v/>
      </c>
      <c r="EM41" s="822" t="str">
        <f t="shared" si="71"/>
        <v/>
      </c>
      <c r="EN41" s="822" t="str">
        <f t="shared" si="72"/>
        <v/>
      </c>
      <c r="EO41" s="856" t="e">
        <f t="shared" si="73"/>
        <v>#N/A</v>
      </c>
      <c r="EP41" s="856" t="e">
        <f t="shared" si="74"/>
        <v>#N/A</v>
      </c>
      <c r="EQ41" s="1293" t="str">
        <f t="shared" si="75"/>
        <v/>
      </c>
      <c r="ER41" s="822" t="str">
        <f t="shared" si="75"/>
        <v/>
      </c>
      <c r="ES41" s="822" t="str">
        <f t="shared" si="76"/>
        <v/>
      </c>
      <c r="ET41" s="822" t="str">
        <f t="shared" si="77"/>
        <v/>
      </c>
      <c r="EU41" s="829" t="str">
        <f t="shared" si="78"/>
        <v/>
      </c>
      <c r="EV41" s="824" t="str">
        <f t="shared" si="79"/>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0"/>
        <v/>
      </c>
      <c r="FA41" s="829" t="str">
        <f>IF(AND(DE41="G", ISBLANK(BW41), ISBLANK(BX41)),VLOOKUP(MIN(BT41:BU41),TblJoistSize!$M$3:$N$10,2),IF(OR(DE41="B", DE41="G"),MIN(BW41:BX41),""))</f>
        <v/>
      </c>
      <c r="FB41" s="829" t="str">
        <f>IF(AND(DE41="G", ISBLANK(BW41), ISBLANK(BX41)),VLOOKUP(MAX(BT41:BU41),TblJoistSize!$M$3:$N$10,2),IF(OR(DE41="B", DE41="G"),MAX(BW41:BX41),""))</f>
        <v/>
      </c>
      <c r="FC41" s="829" t="str">
        <f t="shared" si="81"/>
        <v/>
      </c>
      <c r="FD41" s="821">
        <f t="shared" si="107"/>
        <v>0</v>
      </c>
      <c r="FE41" s="821">
        <f t="shared" si="82"/>
        <v>0</v>
      </c>
      <c r="FF41" s="821">
        <f t="shared" si="83"/>
        <v>0</v>
      </c>
      <c r="FG41" s="821" t="str">
        <f t="shared" si="84"/>
        <v/>
      </c>
      <c r="FH41" s="822" t="str">
        <f t="shared" si="85"/>
        <v/>
      </c>
      <c r="FI41" s="821">
        <f t="shared" si="108"/>
        <v>0</v>
      </c>
      <c r="FJ41" s="821">
        <f t="shared" si="86"/>
        <v>0</v>
      </c>
      <c r="FK41" s="821">
        <f t="shared" si="87"/>
        <v>0</v>
      </c>
      <c r="FL41" s="821" t="str">
        <f t="shared" si="88"/>
        <v/>
      </c>
      <c r="FM41" s="822" t="str">
        <f t="shared" si="89"/>
        <v/>
      </c>
      <c r="FN41" s="822" t="e">
        <f t="shared" si="90"/>
        <v>#VALUE!</v>
      </c>
      <c r="FO41" s="940" t="e">
        <f t="shared" si="91"/>
        <v>#VALUE!</v>
      </c>
      <c r="FP41" s="940" t="e">
        <f t="shared" si="92"/>
        <v>#VALUE!</v>
      </c>
      <c r="FQ41" s="830" t="e">
        <f t="shared" si="93"/>
        <v>#VALUE!</v>
      </c>
      <c r="FR41" s="831" t="e">
        <f t="shared" si="94"/>
        <v>#VALUE!</v>
      </c>
      <c r="FS41" s="832" t="str">
        <f t="shared" si="95"/>
        <v/>
      </c>
      <c r="FT41" s="833" t="str">
        <f t="shared" si="96"/>
        <v/>
      </c>
      <c r="FU41" s="870">
        <f t="shared" si="97"/>
        <v>0</v>
      </c>
      <c r="FV41" s="871">
        <f t="shared" si="98"/>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99"/>
        <v/>
      </c>
      <c r="GF41" s="600" t="str">
        <f t="shared" si="100"/>
        <v/>
      </c>
      <c r="GG41" s="1130"/>
      <c r="GH41" s="1131"/>
      <c r="GI41" s="1130"/>
      <c r="GJ41" s="1131"/>
      <c r="GK41" s="1638">
        <f t="shared" si="101"/>
        <v>0</v>
      </c>
      <c r="GL41" s="1636" t="e">
        <f t="shared" si="10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103"/>
        <v/>
      </c>
      <c r="O42" s="1709" t="str">
        <f t="shared" si="104"/>
        <v/>
      </c>
      <c r="P42" s="1710" t="str">
        <f t="shared" si="105"/>
        <v/>
      </c>
      <c r="Q42" s="1705" t="str">
        <f t="shared" si="7"/>
        <v/>
      </c>
      <c r="R42" s="1709" t="str">
        <f t="shared" si="8"/>
        <v/>
      </c>
      <c r="S42" s="1711" t="str">
        <f t="shared" si="9"/>
        <v/>
      </c>
      <c r="T42" s="1714" t="str">
        <f t="shared" si="114"/>
        <v/>
      </c>
      <c r="U42" s="1709" t="str">
        <f t="shared" si="115"/>
        <v/>
      </c>
      <c r="V42" s="1705" t="str">
        <f t="shared" si="116"/>
        <v/>
      </c>
      <c r="W42" s="1709" t="str">
        <f t="shared" si="117"/>
        <v/>
      </c>
      <c r="X42" s="1713">
        <f t="shared" si="118"/>
        <v>0</v>
      </c>
      <c r="Y42" s="1781" t="str">
        <f t="shared" si="10"/>
        <v/>
      </c>
      <c r="Z42" s="1782" t="str">
        <f t="shared" si="11"/>
        <v/>
      </c>
      <c r="AA42" s="1783" t="s">
        <v>116</v>
      </c>
      <c r="AB42" s="1413"/>
      <c r="AC42" s="964" t="b">
        <v>0</v>
      </c>
      <c r="AD42" s="441">
        <f t="shared" si="12"/>
        <v>0</v>
      </c>
      <c r="AE42" s="442">
        <f t="shared" si="13"/>
        <v>0</v>
      </c>
      <c r="AF42" s="442">
        <f t="shared" si="14"/>
        <v>0</v>
      </c>
      <c r="AG42" s="442">
        <f t="shared" si="15"/>
        <v>0</v>
      </c>
      <c r="AH42" s="443">
        <f t="shared" si="16"/>
        <v>0</v>
      </c>
      <c r="AI42" s="444" t="b">
        <v>0</v>
      </c>
      <c r="AJ42" s="238">
        <f t="shared" si="17"/>
        <v>0</v>
      </c>
      <c r="AK42" s="830" t="str">
        <f t="shared" si="18"/>
        <v/>
      </c>
      <c r="AL42" s="945" t="str">
        <f t="shared" si="19"/>
        <v/>
      </c>
      <c r="AM42" s="830" t="str">
        <f t="shared" si="20"/>
        <v/>
      </c>
      <c r="AN42" s="830" t="str">
        <f t="shared" si="21"/>
        <v/>
      </c>
      <c r="AO42" s="830" t="str">
        <f t="shared" si="22"/>
        <v/>
      </c>
      <c r="AP42" s="830" t="b">
        <f>IF(ISERROR(AJ42),FALSE,IF(OR(AJ42=0,ISERROR(AL42),ISERROR(AM42),ISERROR(AN42),ISERROR(AO42)),FALSE,IF(AL42&lt;&gt;"",IF(ISERROR(VLOOKUP(SUBSTITUTE(SUBSTITUTE(C42,"R",""),"A",""),TblJoistSize!$A:$A,1,FALSE)),FALSE,TRUE),TRUE)))</f>
        <v>0</v>
      </c>
      <c r="AQ42" s="1038" t="e">
        <f t="shared" si="23"/>
        <v>#N/A</v>
      </c>
      <c r="AR42" s="945" t="b">
        <f t="shared" si="24"/>
        <v>0</v>
      </c>
      <c r="AS42" s="1038" t="e">
        <f t="shared" si="25"/>
        <v>#N/A</v>
      </c>
      <c r="AT42" s="945" t="b">
        <f t="shared" si="26"/>
        <v>0</v>
      </c>
      <c r="AU42" s="946" t="str">
        <f t="shared" si="27"/>
        <v/>
      </c>
      <c r="AV42" s="830" t="str">
        <f t="shared" si="28"/>
        <v/>
      </c>
      <c r="AW42" s="830" t="str">
        <f t="shared" si="29"/>
        <v/>
      </c>
      <c r="AX42" s="830" t="str">
        <f t="shared" si="106"/>
        <v/>
      </c>
      <c r="AY42" s="1039" t="b">
        <f t="shared" si="30"/>
        <v>0</v>
      </c>
      <c r="AZ42" s="856" t="str">
        <f t="shared" si="31"/>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2"/>
        <v/>
      </c>
      <c r="BR42" s="910"/>
      <c r="BS42" s="672"/>
      <c r="BT42" s="713"/>
      <c r="BU42" s="714"/>
      <c r="BV42" s="1625"/>
      <c r="BW42" s="713"/>
      <c r="BX42" s="714"/>
      <c r="BY42" s="715"/>
      <c r="BZ42" s="716"/>
      <c r="CA42" s="680" t="str">
        <f>IF(ISERROR(DE42),"",IF(DE42="","",IF(VLOOKUP(BS42,SectInfo!$B:$N,10,FALSE)="","","X")))</f>
        <v/>
      </c>
      <c r="CB42" s="738"/>
      <c r="CC42" s="1551" t="str">
        <f t="shared" si="33"/>
        <v/>
      </c>
      <c r="CD42" s="910"/>
      <c r="CE42" s="717"/>
      <c r="CF42" s="736"/>
      <c r="CG42" s="737"/>
      <c r="CH42" s="591" t="str">
        <f t="shared" si="34"/>
        <v/>
      </c>
      <c r="CI42" s="592" t="str">
        <f t="shared" si="35"/>
        <v/>
      </c>
      <c r="CJ42" s="593" t="str">
        <f t="shared" si="36"/>
        <v/>
      </c>
      <c r="CK42" s="594" t="str">
        <f t="shared" si="37"/>
        <v/>
      </c>
      <c r="CL42" s="595" t="str">
        <f t="shared" si="38"/>
        <v/>
      </c>
      <c r="CM42" s="596" t="str">
        <f t="shared" si="39"/>
        <v/>
      </c>
      <c r="CN42" s="597" t="str">
        <f t="shared" si="40"/>
        <v/>
      </c>
      <c r="CO42" s="598" t="str">
        <f t="shared" si="41"/>
        <v/>
      </c>
      <c r="CP42" s="615" t="str">
        <f t="shared" si="42"/>
        <v/>
      </c>
      <c r="CQ42" s="616" t="str">
        <f t="shared" si="43"/>
        <v/>
      </c>
      <c r="CR42" s="750" t="str">
        <f t="shared" si="44"/>
        <v/>
      </c>
      <c r="CS42" s="751" t="str">
        <f t="shared" si="45"/>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6"/>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47"/>
        <v>0</v>
      </c>
      <c r="DO42" s="818">
        <f t="shared" si="48"/>
        <v>0</v>
      </c>
      <c r="DP42" s="822" t="str">
        <f t="shared" si="49"/>
        <v/>
      </c>
      <c r="DQ42" s="822" t="str">
        <f t="shared" si="50"/>
        <v/>
      </c>
      <c r="DR42" s="822" t="str">
        <f t="shared" si="51"/>
        <v/>
      </c>
      <c r="DS42" s="821">
        <f t="shared" si="52"/>
        <v>0</v>
      </c>
      <c r="DT42" s="821">
        <f t="shared" si="53"/>
        <v>0</v>
      </c>
      <c r="DU42" s="821" t="str">
        <f t="shared" si="54"/>
        <v/>
      </c>
      <c r="DV42" s="822" t="str">
        <f t="shared" si="55"/>
        <v/>
      </c>
      <c r="DW42" s="856" t="str">
        <f t="shared" si="56"/>
        <v/>
      </c>
      <c r="DX42" s="1006">
        <f t="shared" si="57"/>
        <v>0</v>
      </c>
      <c r="DY42" s="822">
        <f t="shared" si="58"/>
        <v>0</v>
      </c>
      <c r="DZ42" s="821">
        <f t="shared" si="59"/>
        <v>0</v>
      </c>
      <c r="EA42" s="821" t="str">
        <f t="shared" si="60"/>
        <v/>
      </c>
      <c r="EB42" s="822" t="str">
        <f t="shared" si="61"/>
        <v/>
      </c>
      <c r="EC42" s="856" t="str">
        <f t="shared" si="62"/>
        <v/>
      </c>
      <c r="ED42" s="1006">
        <f t="shared" si="63"/>
        <v>0</v>
      </c>
      <c r="EE42" s="1293" t="str">
        <f t="shared" si="64"/>
        <v/>
      </c>
      <c r="EF42" s="1293" t="str">
        <f t="shared" si="65"/>
        <v/>
      </c>
      <c r="EG42" s="1293" t="str">
        <f t="shared" si="66"/>
        <v/>
      </c>
      <c r="EH42" s="856" t="e">
        <f t="shared" si="67"/>
        <v>#N/A</v>
      </c>
      <c r="EI42" s="856" t="e">
        <f t="shared" si="68"/>
        <v>#N/A</v>
      </c>
      <c r="EJ42" s="822" t="str">
        <f t="shared" si="69"/>
        <v/>
      </c>
      <c r="EK42" s="822" t="str">
        <f t="shared" si="69"/>
        <v/>
      </c>
      <c r="EL42" s="1293" t="str">
        <f t="shared" si="70"/>
        <v/>
      </c>
      <c r="EM42" s="822" t="str">
        <f t="shared" si="71"/>
        <v/>
      </c>
      <c r="EN42" s="822" t="str">
        <f t="shared" si="72"/>
        <v/>
      </c>
      <c r="EO42" s="856" t="e">
        <f t="shared" si="73"/>
        <v>#N/A</v>
      </c>
      <c r="EP42" s="856" t="e">
        <f t="shared" si="74"/>
        <v>#N/A</v>
      </c>
      <c r="EQ42" s="1293" t="str">
        <f t="shared" si="75"/>
        <v/>
      </c>
      <c r="ER42" s="822" t="str">
        <f t="shared" si="75"/>
        <v/>
      </c>
      <c r="ES42" s="822" t="str">
        <f t="shared" si="76"/>
        <v/>
      </c>
      <c r="ET42" s="822" t="str">
        <f t="shared" si="77"/>
        <v/>
      </c>
      <c r="EU42" s="829" t="str">
        <f t="shared" si="78"/>
        <v/>
      </c>
      <c r="EV42" s="824" t="str">
        <f t="shared" si="79"/>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0"/>
        <v/>
      </c>
      <c r="FA42" s="829" t="str">
        <f>IF(AND(DE42="G", ISBLANK(BW42), ISBLANK(BX42)),VLOOKUP(MIN(BT42:BU42),TblJoistSize!$M$3:$N$10,2),IF(OR(DE42="B", DE42="G"),MIN(BW42:BX42),""))</f>
        <v/>
      </c>
      <c r="FB42" s="829" t="str">
        <f>IF(AND(DE42="G", ISBLANK(BW42), ISBLANK(BX42)),VLOOKUP(MAX(BT42:BU42),TblJoistSize!$M$3:$N$10,2),IF(OR(DE42="B", DE42="G"),MAX(BW42:BX42),""))</f>
        <v/>
      </c>
      <c r="FC42" s="829" t="str">
        <f t="shared" si="81"/>
        <v/>
      </c>
      <c r="FD42" s="821">
        <f t="shared" si="107"/>
        <v>0</v>
      </c>
      <c r="FE42" s="821">
        <f t="shared" si="82"/>
        <v>0</v>
      </c>
      <c r="FF42" s="821">
        <f t="shared" si="83"/>
        <v>0</v>
      </c>
      <c r="FG42" s="821" t="str">
        <f t="shared" si="84"/>
        <v/>
      </c>
      <c r="FH42" s="822" t="str">
        <f t="shared" si="85"/>
        <v/>
      </c>
      <c r="FI42" s="821">
        <f t="shared" si="108"/>
        <v>0</v>
      </c>
      <c r="FJ42" s="821">
        <f t="shared" si="86"/>
        <v>0</v>
      </c>
      <c r="FK42" s="821">
        <f t="shared" si="87"/>
        <v>0</v>
      </c>
      <c r="FL42" s="821" t="str">
        <f t="shared" si="88"/>
        <v/>
      </c>
      <c r="FM42" s="822" t="str">
        <f t="shared" si="89"/>
        <v/>
      </c>
      <c r="FN42" s="822" t="e">
        <f t="shared" si="90"/>
        <v>#VALUE!</v>
      </c>
      <c r="FO42" s="940" t="e">
        <f t="shared" si="91"/>
        <v>#VALUE!</v>
      </c>
      <c r="FP42" s="940" t="e">
        <f t="shared" si="92"/>
        <v>#VALUE!</v>
      </c>
      <c r="FQ42" s="830" t="e">
        <f t="shared" si="93"/>
        <v>#VALUE!</v>
      </c>
      <c r="FR42" s="831" t="e">
        <f t="shared" si="94"/>
        <v>#VALUE!</v>
      </c>
      <c r="FS42" s="832" t="str">
        <f t="shared" si="95"/>
        <v/>
      </c>
      <c r="FT42" s="833" t="str">
        <f t="shared" si="96"/>
        <v/>
      </c>
      <c r="FU42" s="870">
        <f t="shared" si="97"/>
        <v>0</v>
      </c>
      <c r="FV42" s="871">
        <f t="shared" si="98"/>
        <v>0</v>
      </c>
      <c r="GA42" s="1791" t="str">
        <f t="shared" si="119"/>
        <v/>
      </c>
      <c r="GB42" s="1792" t="str">
        <f t="shared" si="120"/>
        <v/>
      </c>
      <c r="GC42" s="1793" t="str">
        <f t="shared" si="121"/>
        <v/>
      </c>
      <c r="GD42" s="1794" t="str">
        <f t="shared" si="122"/>
        <v/>
      </c>
      <c r="GE42" s="1795" t="str">
        <f t="shared" si="99"/>
        <v/>
      </c>
      <c r="GF42" s="600" t="str">
        <f t="shared" si="100"/>
        <v/>
      </c>
      <c r="GG42" s="1130"/>
      <c r="GH42" s="1131"/>
      <c r="GI42" s="1130"/>
      <c r="GJ42" s="1131"/>
      <c r="GK42" s="1638">
        <f t="shared" si="101"/>
        <v>0</v>
      </c>
      <c r="GL42" s="1636" t="e">
        <f t="shared" si="10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103"/>
        <v/>
      </c>
      <c r="O43" s="1709" t="str">
        <f t="shared" si="104"/>
        <v/>
      </c>
      <c r="P43" s="1710" t="str">
        <f t="shared" si="105"/>
        <v/>
      </c>
      <c r="Q43" s="1705" t="str">
        <f t="shared" si="7"/>
        <v/>
      </c>
      <c r="R43" s="1709" t="str">
        <f t="shared" si="8"/>
        <v/>
      </c>
      <c r="S43" s="1711" t="str">
        <f t="shared" si="9"/>
        <v/>
      </c>
      <c r="T43" s="1714" t="str">
        <f t="shared" si="114"/>
        <v/>
      </c>
      <c r="U43" s="1709" t="str">
        <f t="shared" si="115"/>
        <v/>
      </c>
      <c r="V43" s="1705" t="str">
        <f t="shared" si="116"/>
        <v/>
      </c>
      <c r="W43" s="1709" t="str">
        <f t="shared" si="117"/>
        <v/>
      </c>
      <c r="X43" s="1713">
        <f t="shared" si="118"/>
        <v>0</v>
      </c>
      <c r="Y43" s="1781" t="str">
        <f t="shared" si="10"/>
        <v/>
      </c>
      <c r="Z43" s="1782" t="str">
        <f t="shared" si="11"/>
        <v/>
      </c>
      <c r="AA43" s="1783" t="s">
        <v>116</v>
      </c>
      <c r="AB43" s="1413"/>
      <c r="AC43" s="964" t="b">
        <v>0</v>
      </c>
      <c r="AD43" s="441">
        <f t="shared" si="12"/>
        <v>0</v>
      </c>
      <c r="AE43" s="442">
        <f t="shared" si="13"/>
        <v>0</v>
      </c>
      <c r="AF43" s="442">
        <f t="shared" si="14"/>
        <v>0</v>
      </c>
      <c r="AG43" s="442">
        <f t="shared" si="15"/>
        <v>0</v>
      </c>
      <c r="AH43" s="443">
        <f t="shared" si="16"/>
        <v>0</v>
      </c>
      <c r="AI43" s="444" t="b">
        <v>0</v>
      </c>
      <c r="AJ43" s="238">
        <f t="shared" si="17"/>
        <v>0</v>
      </c>
      <c r="AK43" s="830" t="str">
        <f t="shared" si="18"/>
        <v/>
      </c>
      <c r="AL43" s="945" t="str">
        <f t="shared" si="19"/>
        <v/>
      </c>
      <c r="AM43" s="830" t="str">
        <f t="shared" si="20"/>
        <v/>
      </c>
      <c r="AN43" s="830" t="str">
        <f t="shared" si="21"/>
        <v/>
      </c>
      <c r="AO43" s="830" t="str">
        <f t="shared" si="22"/>
        <v/>
      </c>
      <c r="AP43" s="830" t="b">
        <f>IF(ISERROR(AJ43),FALSE,IF(OR(AJ43=0,ISERROR(AL43),ISERROR(AM43),ISERROR(AN43),ISERROR(AO43)),FALSE,IF(AL43&lt;&gt;"",IF(ISERROR(VLOOKUP(SUBSTITUTE(SUBSTITUTE(C43,"R",""),"A",""),TblJoistSize!$A:$A,1,FALSE)),FALSE,TRUE),TRUE)))</f>
        <v>0</v>
      </c>
      <c r="AQ43" s="1038" t="e">
        <f t="shared" si="23"/>
        <v>#N/A</v>
      </c>
      <c r="AR43" s="945" t="b">
        <f t="shared" si="24"/>
        <v>0</v>
      </c>
      <c r="AS43" s="1038" t="e">
        <f t="shared" si="25"/>
        <v>#N/A</v>
      </c>
      <c r="AT43" s="945" t="b">
        <f t="shared" si="26"/>
        <v>0</v>
      </c>
      <c r="AU43" s="946" t="str">
        <f t="shared" si="27"/>
        <v/>
      </c>
      <c r="AV43" s="830" t="str">
        <f t="shared" si="28"/>
        <v/>
      </c>
      <c r="AW43" s="830" t="str">
        <f t="shared" si="29"/>
        <v/>
      </c>
      <c r="AX43" s="830" t="str">
        <f t="shared" si="106"/>
        <v/>
      </c>
      <c r="AY43" s="1039" t="b">
        <f t="shared" si="30"/>
        <v>0</v>
      </c>
      <c r="AZ43" s="856" t="str">
        <f t="shared" si="31"/>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2"/>
        <v/>
      </c>
      <c r="BR43" s="910"/>
      <c r="BS43" s="672"/>
      <c r="BT43" s="713"/>
      <c r="BU43" s="714"/>
      <c r="BV43" s="1625"/>
      <c r="BW43" s="713"/>
      <c r="BX43" s="714"/>
      <c r="BY43" s="715"/>
      <c r="BZ43" s="716"/>
      <c r="CA43" s="680" t="str">
        <f>IF(ISERROR(DE43),"",IF(DE43="","",IF(VLOOKUP(BS43,SectInfo!$B:$N,10,FALSE)="","","X")))</f>
        <v/>
      </c>
      <c r="CB43" s="738"/>
      <c r="CC43" s="1551" t="str">
        <f t="shared" si="33"/>
        <v/>
      </c>
      <c r="CD43" s="910"/>
      <c r="CE43" s="717"/>
      <c r="CF43" s="736"/>
      <c r="CG43" s="737"/>
      <c r="CH43" s="591" t="str">
        <f t="shared" si="34"/>
        <v/>
      </c>
      <c r="CI43" s="592" t="str">
        <f t="shared" si="35"/>
        <v/>
      </c>
      <c r="CJ43" s="593" t="str">
        <f t="shared" si="36"/>
        <v/>
      </c>
      <c r="CK43" s="594" t="str">
        <f t="shared" si="37"/>
        <v/>
      </c>
      <c r="CL43" s="595" t="str">
        <f t="shared" si="38"/>
        <v/>
      </c>
      <c r="CM43" s="596" t="str">
        <f t="shared" si="39"/>
        <v/>
      </c>
      <c r="CN43" s="597" t="str">
        <f t="shared" si="40"/>
        <v/>
      </c>
      <c r="CO43" s="598" t="str">
        <f t="shared" si="41"/>
        <v/>
      </c>
      <c r="CP43" s="615" t="str">
        <f t="shared" si="42"/>
        <v/>
      </c>
      <c r="CQ43" s="616" t="str">
        <f t="shared" si="43"/>
        <v/>
      </c>
      <c r="CR43" s="750" t="str">
        <f t="shared" si="44"/>
        <v/>
      </c>
      <c r="CS43" s="751" t="str">
        <f t="shared" si="45"/>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6"/>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47"/>
        <v>0</v>
      </c>
      <c r="DO43" s="818">
        <f t="shared" si="48"/>
        <v>0</v>
      </c>
      <c r="DP43" s="822" t="str">
        <f t="shared" si="49"/>
        <v/>
      </c>
      <c r="DQ43" s="822" t="str">
        <f t="shared" si="50"/>
        <v/>
      </c>
      <c r="DR43" s="822" t="str">
        <f t="shared" si="51"/>
        <v/>
      </c>
      <c r="DS43" s="821">
        <f t="shared" si="52"/>
        <v>0</v>
      </c>
      <c r="DT43" s="821">
        <f t="shared" si="53"/>
        <v>0</v>
      </c>
      <c r="DU43" s="821" t="str">
        <f t="shared" si="54"/>
        <v/>
      </c>
      <c r="DV43" s="822" t="str">
        <f t="shared" si="55"/>
        <v/>
      </c>
      <c r="DW43" s="856" t="str">
        <f t="shared" si="56"/>
        <v/>
      </c>
      <c r="DX43" s="1006">
        <f t="shared" si="57"/>
        <v>0</v>
      </c>
      <c r="DY43" s="822">
        <f t="shared" si="58"/>
        <v>0</v>
      </c>
      <c r="DZ43" s="821">
        <f t="shared" si="59"/>
        <v>0</v>
      </c>
      <c r="EA43" s="821" t="str">
        <f t="shared" si="60"/>
        <v/>
      </c>
      <c r="EB43" s="822" t="str">
        <f t="shared" si="61"/>
        <v/>
      </c>
      <c r="EC43" s="856" t="str">
        <f t="shared" si="62"/>
        <v/>
      </c>
      <c r="ED43" s="1006">
        <f t="shared" si="63"/>
        <v>0</v>
      </c>
      <c r="EE43" s="1293" t="str">
        <f t="shared" si="64"/>
        <v/>
      </c>
      <c r="EF43" s="1293" t="str">
        <f t="shared" si="65"/>
        <v/>
      </c>
      <c r="EG43" s="1293" t="str">
        <f t="shared" si="66"/>
        <v/>
      </c>
      <c r="EH43" s="856" t="e">
        <f t="shared" si="67"/>
        <v>#N/A</v>
      </c>
      <c r="EI43" s="856" t="e">
        <f t="shared" si="68"/>
        <v>#N/A</v>
      </c>
      <c r="EJ43" s="822" t="str">
        <f t="shared" si="69"/>
        <v/>
      </c>
      <c r="EK43" s="822" t="str">
        <f t="shared" si="69"/>
        <v/>
      </c>
      <c r="EL43" s="1293" t="str">
        <f t="shared" si="70"/>
        <v/>
      </c>
      <c r="EM43" s="822" t="str">
        <f t="shared" si="71"/>
        <v/>
      </c>
      <c r="EN43" s="822" t="str">
        <f t="shared" si="72"/>
        <v/>
      </c>
      <c r="EO43" s="856" t="e">
        <f t="shared" si="73"/>
        <v>#N/A</v>
      </c>
      <c r="EP43" s="856" t="e">
        <f t="shared" si="74"/>
        <v>#N/A</v>
      </c>
      <c r="EQ43" s="1293" t="str">
        <f t="shared" si="75"/>
        <v/>
      </c>
      <c r="ER43" s="822" t="str">
        <f t="shared" si="75"/>
        <v/>
      </c>
      <c r="ES43" s="822" t="str">
        <f t="shared" si="76"/>
        <v/>
      </c>
      <c r="ET43" s="822" t="str">
        <f t="shared" si="77"/>
        <v/>
      </c>
      <c r="EU43" s="829" t="str">
        <f t="shared" si="78"/>
        <v/>
      </c>
      <c r="EV43" s="824" t="str">
        <f t="shared" si="79"/>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0"/>
        <v/>
      </c>
      <c r="FA43" s="829" t="str">
        <f>IF(AND(DE43="G", ISBLANK(BW43), ISBLANK(BX43)),VLOOKUP(MIN(BT43:BU43),TblJoistSize!$M$3:$N$10,2),IF(OR(DE43="B", DE43="G"),MIN(BW43:BX43),""))</f>
        <v/>
      </c>
      <c r="FB43" s="829" t="str">
        <f>IF(AND(DE43="G", ISBLANK(BW43), ISBLANK(BX43)),VLOOKUP(MAX(BT43:BU43),TblJoistSize!$M$3:$N$10,2),IF(OR(DE43="B", DE43="G"),MAX(BW43:BX43),""))</f>
        <v/>
      </c>
      <c r="FC43" s="829" t="str">
        <f t="shared" si="81"/>
        <v/>
      </c>
      <c r="FD43" s="821">
        <f t="shared" si="107"/>
        <v>0</v>
      </c>
      <c r="FE43" s="821">
        <f t="shared" si="82"/>
        <v>0</v>
      </c>
      <c r="FF43" s="821">
        <f t="shared" si="83"/>
        <v>0</v>
      </c>
      <c r="FG43" s="821" t="str">
        <f t="shared" si="84"/>
        <v/>
      </c>
      <c r="FH43" s="822" t="str">
        <f t="shared" si="85"/>
        <v/>
      </c>
      <c r="FI43" s="821">
        <f t="shared" si="108"/>
        <v>0</v>
      </c>
      <c r="FJ43" s="821">
        <f t="shared" si="86"/>
        <v>0</v>
      </c>
      <c r="FK43" s="821">
        <f t="shared" si="87"/>
        <v>0</v>
      </c>
      <c r="FL43" s="821" t="str">
        <f t="shared" si="88"/>
        <v/>
      </c>
      <c r="FM43" s="822" t="str">
        <f t="shared" si="89"/>
        <v/>
      </c>
      <c r="FN43" s="822" t="e">
        <f t="shared" si="90"/>
        <v>#VALUE!</v>
      </c>
      <c r="FO43" s="940" t="e">
        <f t="shared" si="91"/>
        <v>#VALUE!</v>
      </c>
      <c r="FP43" s="940" t="e">
        <f t="shared" si="92"/>
        <v>#VALUE!</v>
      </c>
      <c r="FQ43" s="830" t="e">
        <f t="shared" si="93"/>
        <v>#VALUE!</v>
      </c>
      <c r="FR43" s="831" t="e">
        <f t="shared" si="94"/>
        <v>#VALUE!</v>
      </c>
      <c r="FS43" s="832" t="str">
        <f t="shared" si="95"/>
        <v/>
      </c>
      <c r="FT43" s="833" t="str">
        <f t="shared" si="96"/>
        <v/>
      </c>
      <c r="FU43" s="870">
        <f t="shared" si="97"/>
        <v>0</v>
      </c>
      <c r="FV43" s="871">
        <f t="shared" si="98"/>
        <v>0</v>
      </c>
      <c r="GA43" s="1791" t="str">
        <f t="shared" si="119"/>
        <v/>
      </c>
      <c r="GB43" s="1792" t="str">
        <f t="shared" si="120"/>
        <v/>
      </c>
      <c r="GC43" s="1793" t="str">
        <f t="shared" si="121"/>
        <v/>
      </c>
      <c r="GD43" s="1794" t="str">
        <f t="shared" si="122"/>
        <v/>
      </c>
      <c r="GE43" s="1795" t="str">
        <f t="shared" si="99"/>
        <v/>
      </c>
      <c r="GF43" s="600" t="str">
        <f t="shared" si="100"/>
        <v/>
      </c>
      <c r="GG43" s="1130"/>
      <c r="GH43" s="1131"/>
      <c r="GI43" s="1130"/>
      <c r="GJ43" s="1131"/>
      <c r="GK43" s="1638">
        <f t="shared" si="101"/>
        <v>0</v>
      </c>
      <c r="GL43" s="1636" t="e">
        <f t="shared" si="10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103"/>
        <v/>
      </c>
      <c r="O44" s="1709" t="str">
        <f t="shared" si="104"/>
        <v/>
      </c>
      <c r="P44" s="1710" t="str">
        <f t="shared" si="105"/>
        <v/>
      </c>
      <c r="Q44" s="1705" t="str">
        <f t="shared" si="7"/>
        <v/>
      </c>
      <c r="R44" s="1709" t="str">
        <f t="shared" si="8"/>
        <v/>
      </c>
      <c r="S44" s="1711" t="str">
        <f t="shared" si="9"/>
        <v/>
      </c>
      <c r="T44" s="1714" t="str">
        <f t="shared" si="114"/>
        <v/>
      </c>
      <c r="U44" s="1709" t="str">
        <f t="shared" si="115"/>
        <v/>
      </c>
      <c r="V44" s="1705" t="str">
        <f t="shared" si="116"/>
        <v/>
      </c>
      <c r="W44" s="1709" t="str">
        <f t="shared" si="117"/>
        <v/>
      </c>
      <c r="X44" s="1713">
        <f t="shared" si="118"/>
        <v>0</v>
      </c>
      <c r="Y44" s="1781" t="str">
        <f t="shared" si="10"/>
        <v/>
      </c>
      <c r="Z44" s="1782" t="str">
        <f t="shared" si="11"/>
        <v/>
      </c>
      <c r="AA44" s="1783" t="s">
        <v>116</v>
      </c>
      <c r="AB44" s="1413"/>
      <c r="AC44" s="964" t="b">
        <v>0</v>
      </c>
      <c r="AD44" s="441">
        <f t="shared" si="12"/>
        <v>0</v>
      </c>
      <c r="AE44" s="442">
        <f t="shared" si="13"/>
        <v>0</v>
      </c>
      <c r="AF44" s="442">
        <f t="shared" si="14"/>
        <v>0</v>
      </c>
      <c r="AG44" s="442">
        <f t="shared" si="15"/>
        <v>0</v>
      </c>
      <c r="AH44" s="443">
        <f t="shared" si="16"/>
        <v>0</v>
      </c>
      <c r="AI44" s="444" t="b">
        <v>0</v>
      </c>
      <c r="AJ44" s="238">
        <f t="shared" si="17"/>
        <v>0</v>
      </c>
      <c r="AK44" s="830" t="str">
        <f t="shared" si="18"/>
        <v/>
      </c>
      <c r="AL44" s="945" t="str">
        <f t="shared" si="19"/>
        <v/>
      </c>
      <c r="AM44" s="830" t="str">
        <f t="shared" si="20"/>
        <v/>
      </c>
      <c r="AN44" s="830" t="str">
        <f t="shared" si="21"/>
        <v/>
      </c>
      <c r="AO44" s="830" t="str">
        <f t="shared" si="22"/>
        <v/>
      </c>
      <c r="AP44" s="830" t="b">
        <f>IF(ISERROR(AJ44),FALSE,IF(OR(AJ44=0,ISERROR(AL44),ISERROR(AM44),ISERROR(AN44),ISERROR(AO44)),FALSE,IF(AL44&lt;&gt;"",IF(ISERROR(VLOOKUP(SUBSTITUTE(SUBSTITUTE(C44,"R",""),"A",""),TblJoistSize!$A:$A,1,FALSE)),FALSE,TRUE),TRUE)))</f>
        <v>0</v>
      </c>
      <c r="AQ44" s="1038" t="e">
        <f t="shared" si="23"/>
        <v>#N/A</v>
      </c>
      <c r="AR44" s="945" t="b">
        <f t="shared" si="24"/>
        <v>0</v>
      </c>
      <c r="AS44" s="1038" t="e">
        <f t="shared" si="25"/>
        <v>#N/A</v>
      </c>
      <c r="AT44" s="945" t="b">
        <f t="shared" si="26"/>
        <v>0</v>
      </c>
      <c r="AU44" s="946" t="str">
        <f t="shared" si="27"/>
        <v/>
      </c>
      <c r="AV44" s="830" t="str">
        <f t="shared" si="28"/>
        <v/>
      </c>
      <c r="AW44" s="830" t="str">
        <f t="shared" si="29"/>
        <v/>
      </c>
      <c r="AX44" s="830" t="str">
        <f t="shared" si="106"/>
        <v/>
      </c>
      <c r="AY44" s="1039" t="b">
        <f t="shared" si="30"/>
        <v>0</v>
      </c>
      <c r="AZ44" s="856" t="str">
        <f t="shared" si="31"/>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2"/>
        <v/>
      </c>
      <c r="BR44" s="910"/>
      <c r="BS44" s="672"/>
      <c r="BT44" s="713"/>
      <c r="BU44" s="714"/>
      <c r="BV44" s="1625"/>
      <c r="BW44" s="713"/>
      <c r="BX44" s="714"/>
      <c r="BY44" s="715"/>
      <c r="BZ44" s="716"/>
      <c r="CA44" s="680" t="str">
        <f>IF(ISERROR(DE44),"",IF(DE44="","",IF(VLOOKUP(BS44,SectInfo!$B:$N,10,FALSE)="","","X")))</f>
        <v/>
      </c>
      <c r="CB44" s="738"/>
      <c r="CC44" s="1551" t="str">
        <f t="shared" si="33"/>
        <v/>
      </c>
      <c r="CD44" s="910"/>
      <c r="CE44" s="717"/>
      <c r="CF44" s="736"/>
      <c r="CG44" s="737"/>
      <c r="CH44" s="591" t="str">
        <f t="shared" si="34"/>
        <v/>
      </c>
      <c r="CI44" s="592" t="str">
        <f t="shared" si="35"/>
        <v/>
      </c>
      <c r="CJ44" s="593" t="str">
        <f t="shared" si="36"/>
        <v/>
      </c>
      <c r="CK44" s="594" t="str">
        <f t="shared" si="37"/>
        <v/>
      </c>
      <c r="CL44" s="595" t="str">
        <f t="shared" si="38"/>
        <v/>
      </c>
      <c r="CM44" s="596" t="str">
        <f t="shared" si="39"/>
        <v/>
      </c>
      <c r="CN44" s="597" t="str">
        <f t="shared" si="40"/>
        <v/>
      </c>
      <c r="CO44" s="598" t="str">
        <f t="shared" si="41"/>
        <v/>
      </c>
      <c r="CP44" s="615" t="str">
        <f t="shared" si="42"/>
        <v/>
      </c>
      <c r="CQ44" s="616" t="str">
        <f t="shared" si="43"/>
        <v/>
      </c>
      <c r="CR44" s="750" t="str">
        <f t="shared" si="44"/>
        <v/>
      </c>
      <c r="CS44" s="751" t="str">
        <f t="shared" si="45"/>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6"/>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47"/>
        <v>0</v>
      </c>
      <c r="DO44" s="818">
        <f t="shared" si="48"/>
        <v>0</v>
      </c>
      <c r="DP44" s="822" t="str">
        <f t="shared" si="49"/>
        <v/>
      </c>
      <c r="DQ44" s="822" t="str">
        <f t="shared" si="50"/>
        <v/>
      </c>
      <c r="DR44" s="822" t="str">
        <f t="shared" si="51"/>
        <v/>
      </c>
      <c r="DS44" s="821">
        <f t="shared" si="52"/>
        <v>0</v>
      </c>
      <c r="DT44" s="821">
        <f t="shared" si="53"/>
        <v>0</v>
      </c>
      <c r="DU44" s="821" t="str">
        <f t="shared" si="54"/>
        <v/>
      </c>
      <c r="DV44" s="822" t="str">
        <f t="shared" si="55"/>
        <v/>
      </c>
      <c r="DW44" s="856" t="str">
        <f t="shared" si="56"/>
        <v/>
      </c>
      <c r="DX44" s="1006">
        <f t="shared" si="57"/>
        <v>0</v>
      </c>
      <c r="DY44" s="822">
        <f t="shared" si="58"/>
        <v>0</v>
      </c>
      <c r="DZ44" s="821">
        <f t="shared" si="59"/>
        <v>0</v>
      </c>
      <c r="EA44" s="821" t="str">
        <f t="shared" si="60"/>
        <v/>
      </c>
      <c r="EB44" s="822" t="str">
        <f t="shared" si="61"/>
        <v/>
      </c>
      <c r="EC44" s="856" t="str">
        <f t="shared" si="62"/>
        <v/>
      </c>
      <c r="ED44" s="1006">
        <f t="shared" si="63"/>
        <v>0</v>
      </c>
      <c r="EE44" s="1293" t="str">
        <f t="shared" si="64"/>
        <v/>
      </c>
      <c r="EF44" s="1293" t="str">
        <f t="shared" si="65"/>
        <v/>
      </c>
      <c r="EG44" s="1293" t="str">
        <f t="shared" si="66"/>
        <v/>
      </c>
      <c r="EH44" s="856" t="e">
        <f t="shared" si="67"/>
        <v>#N/A</v>
      </c>
      <c r="EI44" s="856" t="e">
        <f t="shared" si="68"/>
        <v>#N/A</v>
      </c>
      <c r="EJ44" s="822" t="str">
        <f t="shared" si="69"/>
        <v/>
      </c>
      <c r="EK44" s="822" t="str">
        <f t="shared" si="69"/>
        <v/>
      </c>
      <c r="EL44" s="1293" t="str">
        <f t="shared" si="70"/>
        <v/>
      </c>
      <c r="EM44" s="822" t="str">
        <f t="shared" si="71"/>
        <v/>
      </c>
      <c r="EN44" s="822" t="str">
        <f t="shared" si="72"/>
        <v/>
      </c>
      <c r="EO44" s="856" t="e">
        <f t="shared" si="73"/>
        <v>#N/A</v>
      </c>
      <c r="EP44" s="856" t="e">
        <f t="shared" si="74"/>
        <v>#N/A</v>
      </c>
      <c r="EQ44" s="1293" t="str">
        <f t="shared" si="75"/>
        <v/>
      </c>
      <c r="ER44" s="822" t="str">
        <f t="shared" si="75"/>
        <v/>
      </c>
      <c r="ES44" s="822" t="str">
        <f t="shared" si="76"/>
        <v/>
      </c>
      <c r="ET44" s="822" t="str">
        <f t="shared" si="77"/>
        <v/>
      </c>
      <c r="EU44" s="829" t="str">
        <f t="shared" si="78"/>
        <v/>
      </c>
      <c r="EV44" s="824" t="str">
        <f t="shared" si="79"/>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0"/>
        <v/>
      </c>
      <c r="FA44" s="829" t="str">
        <f>IF(AND(DE44="G", ISBLANK(BW44), ISBLANK(BX44)),VLOOKUP(MIN(BT44:BU44),TblJoistSize!$M$3:$N$10,2),IF(OR(DE44="B", DE44="G"),MIN(BW44:BX44),""))</f>
        <v/>
      </c>
      <c r="FB44" s="829" t="str">
        <f>IF(AND(DE44="G", ISBLANK(BW44), ISBLANK(BX44)),VLOOKUP(MAX(BT44:BU44),TblJoistSize!$M$3:$N$10,2),IF(OR(DE44="B", DE44="G"),MAX(BW44:BX44),""))</f>
        <v/>
      </c>
      <c r="FC44" s="829" t="str">
        <f t="shared" si="81"/>
        <v/>
      </c>
      <c r="FD44" s="821">
        <f t="shared" si="107"/>
        <v>0</v>
      </c>
      <c r="FE44" s="821">
        <f t="shared" si="82"/>
        <v>0</v>
      </c>
      <c r="FF44" s="821">
        <f t="shared" si="83"/>
        <v>0</v>
      </c>
      <c r="FG44" s="821" t="str">
        <f t="shared" si="84"/>
        <v/>
      </c>
      <c r="FH44" s="822" t="str">
        <f t="shared" si="85"/>
        <v/>
      </c>
      <c r="FI44" s="821">
        <f t="shared" si="108"/>
        <v>0</v>
      </c>
      <c r="FJ44" s="821">
        <f t="shared" si="86"/>
        <v>0</v>
      </c>
      <c r="FK44" s="821">
        <f t="shared" si="87"/>
        <v>0</v>
      </c>
      <c r="FL44" s="821" t="str">
        <f t="shared" si="88"/>
        <v/>
      </c>
      <c r="FM44" s="822" t="str">
        <f t="shared" si="89"/>
        <v/>
      </c>
      <c r="FN44" s="822" t="e">
        <f t="shared" si="90"/>
        <v>#VALUE!</v>
      </c>
      <c r="FO44" s="940" t="e">
        <f t="shared" si="91"/>
        <v>#VALUE!</v>
      </c>
      <c r="FP44" s="940" t="e">
        <f t="shared" si="92"/>
        <v>#VALUE!</v>
      </c>
      <c r="FQ44" s="830" t="e">
        <f t="shared" si="93"/>
        <v>#VALUE!</v>
      </c>
      <c r="FR44" s="831" t="e">
        <f t="shared" si="94"/>
        <v>#VALUE!</v>
      </c>
      <c r="FS44" s="832" t="str">
        <f t="shared" si="95"/>
        <v/>
      </c>
      <c r="FT44" s="833" t="str">
        <f t="shared" si="96"/>
        <v/>
      </c>
      <c r="FU44" s="870">
        <f t="shared" si="97"/>
        <v>0</v>
      </c>
      <c r="FV44" s="871">
        <f t="shared" si="98"/>
        <v>0</v>
      </c>
      <c r="GA44" s="1791" t="str">
        <f t="shared" si="119"/>
        <v/>
      </c>
      <c r="GB44" s="1792" t="str">
        <f t="shared" si="120"/>
        <v/>
      </c>
      <c r="GC44" s="1793" t="str">
        <f t="shared" si="121"/>
        <v/>
      </c>
      <c r="GD44" s="1794" t="str">
        <f t="shared" si="122"/>
        <v/>
      </c>
      <c r="GE44" s="1795" t="str">
        <f t="shared" si="99"/>
        <v/>
      </c>
      <c r="GF44" s="600" t="str">
        <f t="shared" si="100"/>
        <v/>
      </c>
      <c r="GG44" s="1130"/>
      <c r="GH44" s="1131"/>
      <c r="GI44" s="1130"/>
      <c r="GJ44" s="1131"/>
      <c r="GK44" s="1638">
        <f t="shared" si="101"/>
        <v>0</v>
      </c>
      <c r="GL44" s="1636" t="e">
        <f t="shared" si="10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03"/>
        <v/>
      </c>
      <c r="O45" s="1723" t="str">
        <f t="shared" si="104"/>
        <v/>
      </c>
      <c r="P45" s="1724" t="str">
        <f t="shared" si="105"/>
        <v/>
      </c>
      <c r="Q45" s="1719" t="str">
        <f t="shared" si="7"/>
        <v/>
      </c>
      <c r="R45" s="1723" t="str">
        <f t="shared" si="8"/>
        <v/>
      </c>
      <c r="S45" s="1725" t="str">
        <f t="shared" si="9"/>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2"/>
        <v>0</v>
      </c>
      <c r="AE45" s="442">
        <f t="shared" si="13"/>
        <v>0</v>
      </c>
      <c r="AF45" s="442">
        <f t="shared" si="14"/>
        <v>0</v>
      </c>
      <c r="AG45" s="442">
        <f t="shared" si="15"/>
        <v>0</v>
      </c>
      <c r="AH45" s="443">
        <f t="shared" si="16"/>
        <v>0</v>
      </c>
      <c r="AI45" s="444" t="b">
        <v>0</v>
      </c>
      <c r="AJ45" s="238">
        <f t="shared" si="17"/>
        <v>0</v>
      </c>
      <c r="AK45" s="830" t="str">
        <f t="shared" si="18"/>
        <v/>
      </c>
      <c r="AL45" s="945" t="str">
        <f t="shared" si="19"/>
        <v/>
      </c>
      <c r="AM45" s="830" t="str">
        <f t="shared" si="20"/>
        <v/>
      </c>
      <c r="AN45" s="830" t="str">
        <f t="shared" si="21"/>
        <v/>
      </c>
      <c r="AO45" s="830" t="str">
        <f t="shared" si="22"/>
        <v/>
      </c>
      <c r="AP45" s="830" t="b">
        <f>IF(ISERROR(AJ45),FALSE,IF(OR(AJ45=0,ISERROR(AL45),ISERROR(AM45),ISERROR(AN45),ISERROR(AO45)),FALSE,IF(AL45&lt;&gt;"",IF(ISERROR(VLOOKUP(SUBSTITUTE(SUBSTITUTE(C45,"R",""),"A",""),TblJoistSize!$A:$A,1,FALSE)),FALSE,TRUE),TRUE)))</f>
        <v>0</v>
      </c>
      <c r="AQ45" s="1038" t="e">
        <f t="shared" si="23"/>
        <v>#N/A</v>
      </c>
      <c r="AR45" s="945" t="b">
        <f t="shared" si="24"/>
        <v>0</v>
      </c>
      <c r="AS45" s="1038" t="e">
        <f t="shared" si="25"/>
        <v>#N/A</v>
      </c>
      <c r="AT45" s="945" t="b">
        <f t="shared" si="26"/>
        <v>0</v>
      </c>
      <c r="AU45" s="946" t="str">
        <f t="shared" si="27"/>
        <v/>
      </c>
      <c r="AV45" s="830" t="str">
        <f t="shared" si="28"/>
        <v/>
      </c>
      <c r="AW45" s="830" t="str">
        <f t="shared" si="29"/>
        <v/>
      </c>
      <c r="AX45" s="830" t="str">
        <f t="shared" si="106"/>
        <v/>
      </c>
      <c r="AY45" s="1039" t="b">
        <f t="shared" si="30"/>
        <v>0</v>
      </c>
      <c r="AZ45" s="856" t="str">
        <f t="shared" si="31"/>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2"/>
        <v/>
      </c>
      <c r="BR45" s="911"/>
      <c r="BS45" s="681"/>
      <c r="BT45" s="718"/>
      <c r="BU45" s="719"/>
      <c r="BV45" s="1626"/>
      <c r="BW45" s="718"/>
      <c r="BX45" s="719"/>
      <c r="BY45" s="720"/>
      <c r="BZ45" s="721"/>
      <c r="CA45" s="689" t="str">
        <f>IF(ISERROR(DE45),"",IF(DE45="","",IF(VLOOKUP(BS45,SectInfo!$B:$N,10,FALSE)="","","X")))</f>
        <v/>
      </c>
      <c r="CB45" s="741"/>
      <c r="CC45" s="1552" t="str">
        <f t="shared" si="33"/>
        <v/>
      </c>
      <c r="CD45" s="911"/>
      <c r="CE45" s="722"/>
      <c r="CF45" s="739"/>
      <c r="CG45" s="740"/>
      <c r="CH45" s="601" t="str">
        <f t="shared" si="34"/>
        <v/>
      </c>
      <c r="CI45" s="602" t="str">
        <f t="shared" si="35"/>
        <v/>
      </c>
      <c r="CJ45" s="603" t="str">
        <f t="shared" si="36"/>
        <v/>
      </c>
      <c r="CK45" s="604" t="str">
        <f t="shared" si="37"/>
        <v/>
      </c>
      <c r="CL45" s="605" t="str">
        <f t="shared" si="38"/>
        <v/>
      </c>
      <c r="CM45" s="606" t="str">
        <f t="shared" si="39"/>
        <v/>
      </c>
      <c r="CN45" s="607" t="str">
        <f t="shared" si="40"/>
        <v/>
      </c>
      <c r="CO45" s="608" t="str">
        <f t="shared" si="41"/>
        <v/>
      </c>
      <c r="CP45" s="617" t="str">
        <f t="shared" si="42"/>
        <v/>
      </c>
      <c r="CQ45" s="618" t="str">
        <f t="shared" si="43"/>
        <v/>
      </c>
      <c r="CR45" s="752" t="str">
        <f t="shared" si="44"/>
        <v/>
      </c>
      <c r="CS45" s="753" t="str">
        <f t="shared" si="45"/>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6"/>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47"/>
        <v>0</v>
      </c>
      <c r="DO45" s="818">
        <f t="shared" si="48"/>
        <v>0</v>
      </c>
      <c r="DP45" s="822" t="str">
        <f t="shared" si="49"/>
        <v/>
      </c>
      <c r="DQ45" s="822" t="str">
        <f t="shared" si="50"/>
        <v/>
      </c>
      <c r="DR45" s="822" t="str">
        <f t="shared" si="51"/>
        <v/>
      </c>
      <c r="DS45" s="821">
        <f t="shared" si="52"/>
        <v>0</v>
      </c>
      <c r="DT45" s="821">
        <f t="shared" si="53"/>
        <v>0</v>
      </c>
      <c r="DU45" s="821" t="str">
        <f t="shared" si="54"/>
        <v/>
      </c>
      <c r="DV45" s="822" t="str">
        <f t="shared" si="55"/>
        <v/>
      </c>
      <c r="DW45" s="856" t="str">
        <f t="shared" si="56"/>
        <v/>
      </c>
      <c r="DX45" s="1006">
        <f t="shared" si="57"/>
        <v>0</v>
      </c>
      <c r="DY45" s="822">
        <f t="shared" si="58"/>
        <v>0</v>
      </c>
      <c r="DZ45" s="821">
        <f t="shared" si="59"/>
        <v>0</v>
      </c>
      <c r="EA45" s="821" t="str">
        <f t="shared" si="60"/>
        <v/>
      </c>
      <c r="EB45" s="822" t="str">
        <f t="shared" si="61"/>
        <v/>
      </c>
      <c r="EC45" s="856" t="str">
        <f t="shared" si="62"/>
        <v/>
      </c>
      <c r="ED45" s="1006">
        <f t="shared" si="63"/>
        <v>0</v>
      </c>
      <c r="EE45" s="1293" t="str">
        <f t="shared" si="64"/>
        <v/>
      </c>
      <c r="EF45" s="1293" t="str">
        <f t="shared" si="65"/>
        <v/>
      </c>
      <c r="EG45" s="1293" t="str">
        <f t="shared" si="66"/>
        <v/>
      </c>
      <c r="EH45" s="856" t="e">
        <f t="shared" si="67"/>
        <v>#N/A</v>
      </c>
      <c r="EI45" s="856" t="e">
        <f t="shared" si="68"/>
        <v>#N/A</v>
      </c>
      <c r="EJ45" s="822" t="str">
        <f t="shared" si="69"/>
        <v/>
      </c>
      <c r="EK45" s="822" t="str">
        <f t="shared" si="69"/>
        <v/>
      </c>
      <c r="EL45" s="1293" t="str">
        <f t="shared" si="70"/>
        <v/>
      </c>
      <c r="EM45" s="822" t="str">
        <f t="shared" si="71"/>
        <v/>
      </c>
      <c r="EN45" s="822" t="str">
        <f t="shared" si="72"/>
        <v/>
      </c>
      <c r="EO45" s="856" t="e">
        <f t="shared" si="73"/>
        <v>#N/A</v>
      </c>
      <c r="EP45" s="856" t="e">
        <f t="shared" si="74"/>
        <v>#N/A</v>
      </c>
      <c r="EQ45" s="1293" t="str">
        <f t="shared" si="75"/>
        <v/>
      </c>
      <c r="ER45" s="822" t="str">
        <f t="shared" si="75"/>
        <v/>
      </c>
      <c r="ES45" s="822" t="str">
        <f t="shared" si="76"/>
        <v/>
      </c>
      <c r="ET45" s="822" t="str">
        <f t="shared" si="77"/>
        <v/>
      </c>
      <c r="EU45" s="829" t="str">
        <f t="shared" si="78"/>
        <v/>
      </c>
      <c r="EV45" s="824" t="str">
        <f t="shared" si="79"/>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0"/>
        <v/>
      </c>
      <c r="FA45" s="829" t="str">
        <f>IF(AND(DE45="G", ISBLANK(BW45), ISBLANK(BX45)),VLOOKUP(MIN(BT45:BU45),TblJoistSize!$M$3:$N$10,2),IF(OR(DE45="B", DE45="G"),MIN(BW45:BX45),""))</f>
        <v/>
      </c>
      <c r="FB45" s="829" t="str">
        <f>IF(AND(DE45="G", ISBLANK(BW45), ISBLANK(BX45)),VLOOKUP(MAX(BT45:BU45),TblJoistSize!$M$3:$N$10,2),IF(OR(DE45="B", DE45="G"),MAX(BW45:BX45),""))</f>
        <v/>
      </c>
      <c r="FC45" s="829" t="str">
        <f t="shared" si="81"/>
        <v/>
      </c>
      <c r="FD45" s="821">
        <f t="shared" si="107"/>
        <v>0</v>
      </c>
      <c r="FE45" s="821">
        <f t="shared" si="82"/>
        <v>0</v>
      </c>
      <c r="FF45" s="821">
        <f t="shared" si="83"/>
        <v>0</v>
      </c>
      <c r="FG45" s="821" t="str">
        <f t="shared" si="84"/>
        <v/>
      </c>
      <c r="FH45" s="822" t="str">
        <f t="shared" si="85"/>
        <v/>
      </c>
      <c r="FI45" s="821">
        <f t="shared" si="108"/>
        <v>0</v>
      </c>
      <c r="FJ45" s="821">
        <f t="shared" si="86"/>
        <v>0</v>
      </c>
      <c r="FK45" s="821">
        <f t="shared" si="87"/>
        <v>0</v>
      </c>
      <c r="FL45" s="821" t="str">
        <f t="shared" si="88"/>
        <v/>
      </c>
      <c r="FM45" s="822" t="str">
        <f t="shared" si="89"/>
        <v/>
      </c>
      <c r="FN45" s="822" t="e">
        <f t="shared" si="90"/>
        <v>#VALUE!</v>
      </c>
      <c r="FO45" s="940" t="e">
        <f t="shared" si="91"/>
        <v>#VALUE!</v>
      </c>
      <c r="FP45" s="940" t="e">
        <f t="shared" si="92"/>
        <v>#VALUE!</v>
      </c>
      <c r="FQ45" s="830" t="e">
        <f t="shared" si="93"/>
        <v>#VALUE!</v>
      </c>
      <c r="FR45" s="831" t="e">
        <f t="shared" si="94"/>
        <v>#VALUE!</v>
      </c>
      <c r="FS45" s="832" t="str">
        <f t="shared" si="95"/>
        <v/>
      </c>
      <c r="FT45" s="833" t="str">
        <f t="shared" si="96"/>
        <v/>
      </c>
      <c r="FU45" s="870">
        <f t="shared" si="97"/>
        <v>0</v>
      </c>
      <c r="FV45" s="871">
        <f t="shared" si="98"/>
        <v>0</v>
      </c>
      <c r="GA45" s="1791" t="str">
        <f t="shared" si="119"/>
        <v/>
      </c>
      <c r="GB45" s="1792" t="str">
        <f t="shared" si="120"/>
        <v/>
      </c>
      <c r="GC45" s="1793" t="str">
        <f t="shared" si="121"/>
        <v/>
      </c>
      <c r="GD45" s="1794" t="str">
        <f t="shared" si="122"/>
        <v/>
      </c>
      <c r="GE45" s="1795" t="str">
        <f t="shared" si="99"/>
        <v/>
      </c>
      <c r="GF45" s="600" t="str">
        <f t="shared" si="100"/>
        <v/>
      </c>
      <c r="GG45" s="1132"/>
      <c r="GH45" s="1133"/>
      <c r="GI45" s="1132"/>
      <c r="GJ45" s="1133"/>
      <c r="GK45" s="1638">
        <f t="shared" si="101"/>
        <v>0</v>
      </c>
      <c r="GL45" s="1636" t="e">
        <f t="shared" si="10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220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220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1660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IZBWSj6bxwXqNzfYIuWNFwD0AibhFrbELmuw/fcJ3WgKR+D77KrID/kmJJ0B5V00AHZzqjOEerEhz5luraTBTA==" saltValue="63ywIxk2RAJa9XN/4HRcqA=="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433" priority="53" stopIfTrue="1" operator="notEqual">
      <formula>$EG57</formula>
    </cfRule>
  </conditionalFormatting>
  <conditionalFormatting sqref="EM57">
    <cfRule type="cellIs" dxfId="432" priority="54" stopIfTrue="1" operator="notEqual">
      <formula>$EN57</formula>
    </cfRule>
  </conditionalFormatting>
  <conditionalFormatting sqref="P2:S4">
    <cfRule type="cellIs" dxfId="431" priority="56" stopIfTrue="1" operator="equal">
      <formula>""</formula>
    </cfRule>
  </conditionalFormatting>
  <conditionalFormatting sqref="EF16:EF45">
    <cfRule type="cellIs" dxfId="430" priority="52" stopIfTrue="1" operator="notEqual">
      <formula>$EG16</formula>
    </cfRule>
  </conditionalFormatting>
  <conditionalFormatting sqref="CC7">
    <cfRule type="expression" dxfId="429" priority="51" stopIfTrue="1">
      <formula>ISBLANK($CC$7)</formula>
    </cfRule>
  </conditionalFormatting>
  <conditionalFormatting sqref="CC6">
    <cfRule type="expression" dxfId="428" priority="50" stopIfTrue="1">
      <formula>ISBLANK($CC$6)</formula>
    </cfRule>
  </conditionalFormatting>
  <conditionalFormatting sqref="M7">
    <cfRule type="expression" dxfId="427" priority="48" stopIfTrue="1">
      <formula>OR(ISBLANK($M$7),$M$7="")</formula>
    </cfRule>
    <cfRule type="expression" dxfId="426" priority="49" stopIfTrue="1">
      <formula>NOT(OR(COUNTIF(masterFinishList, $M$7) &gt; 0, COUNTIF($M$7, "Other:*") &gt; 0))</formula>
    </cfRule>
  </conditionalFormatting>
  <conditionalFormatting sqref="BD16:BD45">
    <cfRule type="expression" dxfId="425" priority="47">
      <formula>AND(NOT($AY16),NOT($AP16))</formula>
    </cfRule>
  </conditionalFormatting>
  <conditionalFormatting sqref="C16:C45">
    <cfRule type="expression" dxfId="424" priority="45">
      <formula>AND(NOT($AY16),NOT($AP16))</formula>
    </cfRule>
  </conditionalFormatting>
  <conditionalFormatting sqref="X16:X45">
    <cfRule type="expression" dxfId="423" priority="28">
      <formula>$X16=0</formula>
    </cfRule>
  </conditionalFormatting>
  <conditionalFormatting sqref="CG16:CG45">
    <cfRule type="expression" dxfId="422" priority="55">
      <formula>OR(CH16&lt;&gt;"",CI16&lt;&gt;"",CJ16&lt;&gt;"",CK16&lt;&gt;"",CL16&lt;&gt;"",CM16&lt;&gt;"",CP16&lt;&gt;"",CQ16&lt;&gt;"")</formula>
    </cfRule>
  </conditionalFormatting>
  <conditionalFormatting sqref="BE16:BF45">
    <cfRule type="expression" dxfId="421" priority="57">
      <formula>AND(NOT($AY16),AND($AZ16,AND($AK16&lt;&gt;"HDR",$AK16&lt;&gt;"JS",$AJ16&gt;=8)))</formula>
    </cfRule>
  </conditionalFormatting>
  <conditionalFormatting sqref="D16:E45">
    <cfRule type="expression" dxfId="420" priority="46">
      <formula>AND(NOT($AY16),AND($AZ16,AND($AK16&lt;&gt;"HDR",$AK16&lt;&gt;"JS",$AJ16&gt;=8)))</formula>
    </cfRule>
    <cfRule type="expression" dxfId="419" priority="80" stopIfTrue="1">
      <formula xml:space="preserve"> AND($GM16 &gt;= 0.125, $GL16 &gt; 0)</formula>
    </cfRule>
  </conditionalFormatting>
  <conditionalFormatting sqref="AA12">
    <cfRule type="expression" dxfId="418" priority="44">
      <formula>OR(ISBLANK(AA12),AA12="")</formula>
    </cfRule>
  </conditionalFormatting>
  <conditionalFormatting sqref="A16:S45 X16:AA45 BB16:CD45">
    <cfRule type="expression" dxfId="417" priority="58">
      <formula>$AC16</formula>
    </cfRule>
  </conditionalFormatting>
  <conditionalFormatting sqref="BG16:BG45">
    <cfRule type="expression" dxfId="416" priority="29">
      <formula>AND(NOT($AY16),ISERROR(CU16))</formula>
    </cfRule>
    <cfRule type="expression" dxfId="415" priority="42">
      <formula>AND(NOT($AY16),OR(CP16&lt;&gt;"", CU16=""))</formula>
    </cfRule>
  </conditionalFormatting>
  <conditionalFormatting sqref="BH16:BH45">
    <cfRule type="expression" dxfId="414" priority="36">
      <formula>AND(NOT($AY16),OR($CU16="M",$CU16="C",AND($CU16="B",$DC16&gt;0)))</formula>
    </cfRule>
    <cfRule type="expression" dxfId="413" priority="37">
      <formula>AND(NOT($AY16),AND(BH16="",BI16="",OR($CU16="B",$CU16="G")))</formula>
    </cfRule>
    <cfRule type="expression" dxfId="412" priority="38">
      <formula>AND(NOT($AY16),(BH16/2)/COS(RADIANS(BM16))+CV16-DW16&lt;VLOOKUP(AU16,$DF$2:$DJ$9,5,FALSE))</formula>
    </cfRule>
  </conditionalFormatting>
  <conditionalFormatting sqref="BI16:BI45">
    <cfRule type="expression" dxfId="411" priority="39">
      <formula>AND(NOT($AY16),OR($CU16="M",$CU16="C",AND($CU16="B",$DC16&gt;0)))</formula>
    </cfRule>
    <cfRule type="expression" dxfId="410" priority="40">
      <formula>AND(NOT($AY16),AND(BH16="",BI16="",OR($CU16="B",$CU16="G")))</formula>
    </cfRule>
    <cfRule type="expression" dxfId="409" priority="41">
      <formula>AND(NOT($AY16),(BI16/2)/COS(RADIANS(BM16))+CV16-DW16&lt;VLOOKUP(AU16,$DF$2:$DJ$9,5,FALSE))</formula>
    </cfRule>
  </conditionalFormatting>
  <conditionalFormatting sqref="BK16:BK45">
    <cfRule type="expression" dxfId="408" priority="30">
      <formula>AND(NOT($AY16),OR($CU16="M",$CU16="C",AND($CU16="B",$DA16&lt;&gt;"")))</formula>
    </cfRule>
    <cfRule type="expression" dxfId="407" priority="31">
      <formula>AND(NOT($AY16),AND(BJ16="X",BK16="",BL16=""))</formula>
    </cfRule>
    <cfRule type="expression" dxfId="406" priority="32">
      <formula>AND(NOT($AY16),EZ16="ERR")</formula>
    </cfRule>
  </conditionalFormatting>
  <conditionalFormatting sqref="BL16:BL45">
    <cfRule type="expression" dxfId="405" priority="33">
      <formula>AND(NOT($AY16),OR($CU16="M",$CU16="C",AND($CU16="B",$DA16&lt;&gt;"")))</formula>
    </cfRule>
    <cfRule type="expression" dxfId="404" priority="34">
      <formula>AND(NOT($AY16),AND(BJ16="X",BK16="",BL16=""))</formula>
    </cfRule>
    <cfRule type="expression" dxfId="403" priority="35">
      <formula>AND(NOT($AY16),EZ16="ERR")</formula>
    </cfRule>
  </conditionalFormatting>
  <conditionalFormatting sqref="A16:B45 BB16:BC45">
    <cfRule type="expression" dxfId="402" priority="43">
      <formula>AND(NOT($AE$1),$B16=0,$AD$1="M")</formula>
    </cfRule>
  </conditionalFormatting>
  <conditionalFormatting sqref="AA16:AA45">
    <cfRule type="expression" dxfId="401" priority="27">
      <formula>AND(NOT($AY16),LEN(AA16)&gt;31)</formula>
    </cfRule>
  </conditionalFormatting>
  <conditionalFormatting sqref="GA16:GB45">
    <cfRule type="expression" dxfId="400" priority="26" stopIfTrue="1">
      <formula>$GM16&gt;=0.125</formula>
    </cfRule>
  </conditionalFormatting>
  <conditionalFormatting sqref="BO16:BO45">
    <cfRule type="expression" dxfId="399" priority="21">
      <formula>AND(BO16="X",CY16="")</formula>
    </cfRule>
    <cfRule type="expression" dxfId="398" priority="22">
      <formula>AND(BO16="",CY16&lt;&gt;"")</formula>
    </cfRule>
  </conditionalFormatting>
  <conditionalFormatting sqref="CA16:CA45">
    <cfRule type="expression" dxfId="397" priority="23">
      <formula>AND(CA16="X",DI16="")</formula>
    </cfRule>
    <cfRule type="expression" dxfId="396" priority="24">
      <formula>AND(CA16="",DI16&lt;&gt;"")</formula>
    </cfRule>
  </conditionalFormatting>
  <conditionalFormatting sqref="CE16:CG45">
    <cfRule type="expression" dxfId="395" priority="25">
      <formula>$AC16</formula>
    </cfRule>
  </conditionalFormatting>
  <conditionalFormatting sqref="EM16:EM45">
    <cfRule type="cellIs" dxfId="394" priority="20" stopIfTrue="1" operator="notEqual">
      <formula>$EN16</formula>
    </cfRule>
  </conditionalFormatting>
  <conditionalFormatting sqref="U16:U45">
    <cfRule type="expression" dxfId="393" priority="16">
      <formula>AND(NOT($AY16),NOT(AR16),$P16&lt;&gt;3)</formula>
    </cfRule>
  </conditionalFormatting>
  <conditionalFormatting sqref="W16:W45">
    <cfRule type="expression" dxfId="392" priority="18">
      <formula>AND(NOT($AY16),NOT(AT16),$S16&lt;&gt;3)</formula>
    </cfRule>
  </conditionalFormatting>
  <conditionalFormatting sqref="T16:T45">
    <cfRule type="expression" dxfId="391" priority="15">
      <formula>AND(NOT($AY16),NOT(AR16),$P16&lt;&gt;3)</formula>
    </cfRule>
  </conditionalFormatting>
  <conditionalFormatting sqref="V16:V45">
    <cfRule type="expression" dxfId="390" priority="17">
      <formula>AND(NOT($AY16),NOT(AT16),$S16&lt;&gt;3)</formula>
    </cfRule>
  </conditionalFormatting>
  <conditionalFormatting sqref="T16:W45">
    <cfRule type="expression" dxfId="389" priority="19">
      <formula>$AC16</formula>
    </cfRule>
  </conditionalFormatting>
  <conditionalFormatting sqref="C57">
    <cfRule type="expression" dxfId="388" priority="12">
      <formula>AND(NOT($AY57),NOT($AP57))</formula>
    </cfRule>
  </conditionalFormatting>
  <conditionalFormatting sqref="X57">
    <cfRule type="expression" dxfId="387" priority="10">
      <formula>$X57=0</formula>
    </cfRule>
  </conditionalFormatting>
  <conditionalFormatting sqref="D57:E57">
    <cfRule type="expression" dxfId="386" priority="13">
      <formula>AND(NOT($AY57),AND($AZ57,AND($AK57&lt;&gt;"HDR",$AK57&lt;&gt;"JS",$AJ57&gt;=8)))</formula>
    </cfRule>
  </conditionalFormatting>
  <conditionalFormatting sqref="A57:S57 X57:AA57">
    <cfRule type="expression" dxfId="385" priority="14">
      <formula>$AC57</formula>
    </cfRule>
  </conditionalFormatting>
  <conditionalFormatting sqref="A57:B57">
    <cfRule type="expression" dxfId="384" priority="11">
      <formula>AND(NOT($AE$1),$B57=0,$AD$1="M")</formula>
    </cfRule>
  </conditionalFormatting>
  <conditionalFormatting sqref="AA57">
    <cfRule type="expression" dxfId="383" priority="9">
      <formula>AND(NOT($AY57),LEN(AA57)&gt;31)</formula>
    </cfRule>
  </conditionalFormatting>
  <conditionalFormatting sqref="U57">
    <cfRule type="expression" dxfId="382" priority="5">
      <formula>AND(NOT($AY57),NOT(AR57),$P57&lt;&gt;3)</formula>
    </cfRule>
  </conditionalFormatting>
  <conditionalFormatting sqref="W57">
    <cfRule type="expression" dxfId="381" priority="7">
      <formula>AND(NOT($AY57),NOT(AT57),$S57&lt;&gt;3)</formula>
    </cfRule>
  </conditionalFormatting>
  <conditionalFormatting sqref="T57">
    <cfRule type="expression" dxfId="380" priority="4">
      <formula>AND(NOT($AY57),NOT(AR57),$P57&lt;&gt;3)</formula>
    </cfRule>
  </conditionalFormatting>
  <conditionalFormatting sqref="V57">
    <cfRule type="expression" dxfId="379" priority="6">
      <formula>AND(NOT($AY57),NOT(AT57),$S57&lt;&gt;3)</formula>
    </cfRule>
  </conditionalFormatting>
  <conditionalFormatting sqref="T57:W57">
    <cfRule type="expression" dxfId="378" priority="8">
      <formula>$AC57</formula>
    </cfRule>
  </conditionalFormatting>
  <conditionalFormatting sqref="BQ16:BQ45">
    <cfRule type="expression" dxfId="377" priority="3">
      <formula>CP16&lt;&gt;""</formula>
    </cfRule>
  </conditionalFormatting>
  <conditionalFormatting sqref="CC16:CC45">
    <cfRule type="expression" dxfId="376" priority="2">
      <formula>CQ16&lt;&gt;""</formula>
    </cfRule>
  </conditionalFormatting>
  <conditionalFormatting sqref="BS16:BS45">
    <cfRule type="expression" dxfId="375" priority="59">
      <formula>AND(NOT($AY16),ISERROR(DE16))</formula>
    </cfRule>
    <cfRule type="expression" dxfId="374" priority="60">
      <formula>AND(NOT($AY16),OR(DE16="", CQ16&lt;&gt;""))</formula>
    </cfRule>
  </conditionalFormatting>
  <conditionalFormatting sqref="BW16:BW45">
    <cfRule type="expression" dxfId="373" priority="61">
      <formula>AND(NOT($AY16),OR($DE16="M",$DE16="C",AND($DE16="B",$DK16&lt;&gt;"")))</formula>
    </cfRule>
    <cfRule type="expression" dxfId="372" priority="62">
      <formula>AND(NOT($AY16),AND(BV16="X",BW16="",BX16=""))</formula>
    </cfRule>
    <cfRule type="expression" dxfId="371" priority="63">
      <formula>AND(NOT($AY16),FC16="ERR")</formula>
    </cfRule>
  </conditionalFormatting>
  <conditionalFormatting sqref="BX16:BX45">
    <cfRule type="expression" dxfId="370" priority="64">
      <formula>AND(NOT($AY16),OR($DE16="M",$DE16="C",AND($DE16="B",$DK16&lt;&gt;"")))</formula>
    </cfRule>
    <cfRule type="expression" dxfId="369" priority="65">
      <formula>AND(NOT($AY16),AND(BV16="X",BW16="",BX16=""))</formula>
    </cfRule>
    <cfRule type="expression" dxfId="368" priority="66">
      <formula>AND(NOT($AY16),FC16="ERR")</formula>
    </cfRule>
  </conditionalFormatting>
  <conditionalFormatting sqref="BT16:BT45">
    <cfRule type="expression" dxfId="367" priority="67">
      <formula>AND(NOT($AY16),OR($DE16="M",$DE16="C",AND($DE16="B",$DM16&gt;0)))</formula>
    </cfRule>
    <cfRule type="expression" dxfId="366" priority="68">
      <formula>AND(NOT($AY16),AND(BT16="",BU16="",OR($DE16="B",$DE16="G")))</formula>
    </cfRule>
    <cfRule type="expression" dxfId="365" priority="69">
      <formula>AND(NOT($AY16),(BT16/2)/COS(RADIANS(BY16))+DF16-EC16&lt;VLOOKUP(AU16,$DF$2:$DJ$9,5,FALSE))</formula>
    </cfRule>
  </conditionalFormatting>
  <conditionalFormatting sqref="BU16:BU45">
    <cfRule type="expression" dxfId="364" priority="70">
      <formula>AND(NOT($AY16),OR($DE16="M",$DE16="C",AND($DE16="B",$DM16&gt;0)))</formula>
    </cfRule>
    <cfRule type="expression" dxfId="363" priority="71">
      <formula>AND(NOT($AY16),AND(BT16="",BU16="",OR($DE16="B",$DE16="G")))</formula>
    </cfRule>
    <cfRule type="expression" dxfId="362" priority="72">
      <formula>AND(NOT($AY16),(BU16/2)/COS(RADIANS(BY16))+DF16-EC16&lt;VLOOKUP(AU16,$DF$2:$DJ$9,5,FALSE))</formula>
    </cfRule>
  </conditionalFormatting>
  <conditionalFormatting sqref="BZ16:BZ45 BN16:BN45">
    <cfRule type="expression" dxfId="361" priority="73">
      <formula>AND(NOT($AY16),AND(ISBLANK(BN16),AND(NOT(ISBLANK(BM16)),$CE16&lt;&gt;0)))</formula>
    </cfRule>
  </conditionalFormatting>
  <conditionalFormatting sqref="BJ16:BJ45">
    <cfRule type="expression" dxfId="360" priority="74">
      <formula>AND(NOT($AY16),OR($CU16="C",AND($CU16="M",$DA16&gt;0)))</formula>
    </cfRule>
    <cfRule type="expression" dxfId="359" priority="75">
      <formula>AND(NOT($AY16),OR(NOT(IF(AND(OR(MID($BB16,1,1)="T",($BE16+$BF16/12)/IF(ABS($CE16)&gt;$DQ$1,COS($DO16),1)&gt;=40),OR($CU16="B",$CU16="G")),"X","")="X"),$EZ16="ERR"))</formula>
    </cfRule>
    <cfRule type="expression" dxfId="358" priority="76">
      <formula>AND(NOT($AY16),$BJ16&lt;&gt;"X",$BJ16&lt;&gt;IF(AND(OR(MID(BB16,1,1)="T",($BE16+$BF16/12)/IF(ABS($CE16)&gt;$DQ$1,COS($DO16),1)&gt;=40),OR($CU16="B",$CU16="G")),"X",""))</formula>
    </cfRule>
  </conditionalFormatting>
  <conditionalFormatting sqref="BV16:BV45">
    <cfRule type="expression" dxfId="357" priority="77">
      <formula>AND(NOT($AY16),OR($DE16="C",AND($DE16="M",$DK16&gt;0)))</formula>
    </cfRule>
    <cfRule type="expression" dxfId="356" priority="78">
      <formula>AND(NOT($AY16),OR(NOT(IF(AND(OR(MID($BB16,1,1)="T",($BE16+$BF16/12)/IF(ABS($CE16)&gt;$DQ$1,COS($DO16),1)&gt;=40),OR($DE16="B",$DE16="G")),"X","")="X"),$FC16="ERR"))</formula>
    </cfRule>
    <cfRule type="expression" dxfId="355" priority="79">
      <formula>AND(NOT($AY16),$BV16&lt;&gt;"X",$BV16&lt;&gt;IF(AND(OR(MID(BB16,1,1)="T",($BE16+$BF16/12)/IF(ABS($CE16)&gt;$DQ$1,COS($DO16),1)&gt;=40),OR($DE16="B",$DE16="G")),"X",""))</formula>
    </cfRule>
  </conditionalFormatting>
  <conditionalFormatting sqref="GA57:GB57">
    <cfRule type="expression" dxfId="35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7C6877FA-A94B-4A8E-A0BB-4CA47B7A277A}">
      <formula1>-1001</formula1>
    </dataValidation>
    <dataValidation type="decimal" operator="greaterThan" allowBlank="1" showInputMessage="1" showErrorMessage="1" errorTitle="Input Error" error="Positive Numeric Values Only!" sqref="BR16:BR45 CD16:CD45" xr:uid="{80D0EC2A-6261-4A00-BAC5-5AE11B2BF88D}">
      <formula1>0</formula1>
    </dataValidation>
    <dataValidation type="decimal" allowBlank="1" showInputMessage="1" showErrorMessage="1" errorTitle="Input Error" error="Numbers from 0&quot; to 11 7/8&quot; only!" sqref="GB16:GB45 GB57" xr:uid="{47EF62B9-5B09-4122-9ED4-B29A39D5C8B3}">
      <formula1>0</formula1>
      <formula2>11.875</formula2>
    </dataValidation>
    <dataValidation type="whole" operator="greaterThanOrEqual" allowBlank="1" showInputMessage="1" showErrorMessage="1" errorTitle="Input Error" error="Positive Integers Only!" sqref="GA16:GA45 GA57" xr:uid="{7150A036-FF79-4443-BDC6-AF08F9CC2A91}">
      <formula1>0</formula1>
    </dataValidation>
    <dataValidation type="decimal" allowBlank="1" showInputMessage="1" showErrorMessage="1" errorTitle="Input Error" error="Numeric Values Only!" sqref="GC16:GD45 GC57:GD57 BP16:BP45 CB16:CB45" xr:uid="{AC6B72CB-FA09-4E61-9F9A-8B3958459F35}">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B91BA6E-3324-4710-9B18-E8028B58E555}">
      <formula1>$CV16</formula1>
    </dataValidation>
    <dataValidation type="decimal" operator="lessThanOrEqual" allowBlank="1" showInputMessage="1" errorTitle="BL Over-Ride Error!" error="Base Length can't be past Joist Overall Length!  See section for Maximum Over-Ride Dimension." sqref="CC16:CC45" xr:uid="{DAA6A508-2216-45A0-AADE-5DD5C4D68F1D}">
      <formula1>$DF16</formula1>
    </dataValidation>
    <dataValidation type="whole" operator="greaterThanOrEqual" allowBlank="1" showInputMessage="1" showErrorMessage="1" sqref="B57" xr:uid="{8F8423AD-7905-49FD-A6DF-E3B620FEFD80}">
      <formula1>0</formula1>
    </dataValidation>
    <dataValidation type="decimal" operator="greaterThan" allowBlank="1" showInputMessage="1" showErrorMessage="1" errorTitle="Dimensional Error" error="Only positive numeric values can be entered here." sqref="L16:M45 L57:M57" xr:uid="{55D5CD46-DBF8-46F8-AD81-53F3B6635A5A}">
      <formula1>0</formula1>
    </dataValidation>
    <dataValidation type="decimal" operator="notEqual" allowBlank="1" showInputMessage="1" showErrorMessage="1" errorTitle="input Error" error="Enter + or - Numbers Only._x000a_Do NOT use &quot;&lt;&quot; or &quot;&gt;&quot;." sqref="Y16:Z45 Y57:Z57" xr:uid="{A5E68821-6EB2-4130-8A7E-2613EE36C7C4}">
      <formula1>0</formula1>
    </dataValidation>
    <dataValidation type="decimal" operator="greaterThanOrEqual" allowBlank="1" showInputMessage="1" showErrorMessage="1" errorTitle="Dimensional Error" error="&quot;Inches&quot; must be a number." sqref="BH16:BI45 BK16:BL45 BT16:BU45 BW16:BX45" xr:uid="{89CCC684-F6D6-4B9A-9C5A-CB943FE37AA7}">
      <formula1>0</formula1>
    </dataValidation>
    <dataValidation type="decimal" allowBlank="1" showInputMessage="1" showErrorMessage="1" errorTitle="Dimensional Error" error="&quot;Inches&quot; must be a number from 0 to 11.875." sqref="BF16:BF45 G16:G45 J16:J45 W16:W45 U16:U45 E16:E45 G57 J57 W57 U57 E57" xr:uid="{3E19420B-90B6-402C-8BC1-A567D8C9FCB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5FC6A332-2151-4D82-95E2-00A0D8270DAB}">
      <formula1>0</formula1>
    </dataValidation>
    <dataValidation type="list" allowBlank="1" showInputMessage="1" sqref="CC6:CF6 M7:S7" xr:uid="{35BEFB33-A548-4369-9184-B8E7FB27943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0E93-5717-4077-875D-8BDB174D6B2F}">
  <sheetPr codeName="Sheet34">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17 of 19</v>
      </c>
      <c r="Z7" s="658"/>
      <c r="AA7" s="374"/>
      <c r="AC7" s="1083">
        <v>17</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1472</v>
      </c>
      <c r="B16" s="1681">
        <v>2</v>
      </c>
      <c r="C16" s="1449" t="s">
        <v>1592</v>
      </c>
      <c r="D16" s="1705">
        <v>39</v>
      </c>
      <c r="E16" s="1706">
        <v>11.5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2.25</v>
      </c>
      <c r="X16" s="1713">
        <v>4</v>
      </c>
      <c r="Y16" s="1781" t="str">
        <f t="shared" ref="Y16:Y44" si="13">FG16</f>
        <v/>
      </c>
      <c r="Z16" s="1782" t="str">
        <f t="shared" ref="Z16:Z44" si="14">FL16</f>
        <v/>
      </c>
      <c r="AA16" s="1783" t="s">
        <v>1746</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J42</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40</v>
      </c>
      <c r="GB16" s="1792">
        <v>0</v>
      </c>
      <c r="GC16" s="1793">
        <v>-0.25</v>
      </c>
      <c r="GD16" s="1794">
        <v>-0.25</v>
      </c>
      <c r="GE16" s="1795">
        <f t="shared" ref="GE16:GE45" si="102">IF(GF16="","",IF(ISBLANK(CE16),IF(Y16=Z16,0,MAX(ABS(Y16),ABS(Z16))*IF(Y16&lt;0,-1,1)),CE16))</f>
        <v>0</v>
      </c>
      <c r="GF16" s="600" t="str">
        <f t="shared" ref="GF16:GF45" si="103">IF(A16=0,"",A16)</f>
        <v>J42</v>
      </c>
      <c r="GG16" s="1130">
        <v>0</v>
      </c>
      <c r="GH16" s="1131">
        <v>0</v>
      </c>
      <c r="GI16" s="1130"/>
      <c r="GJ16" s="1131"/>
      <c r="GK16" s="1638">
        <f t="shared" ref="GK16:GK45" si="104">IF(D16="",0,D16*12+E16)</f>
        <v>479.5</v>
      </c>
      <c r="GL16" s="1636">
        <f t="shared" ref="GL16:GL45" si="105">(GA16*12+GB16+GC16+GD16)/COS(ATAN(ABS(GE16/12)))</f>
        <v>479.5</v>
      </c>
      <c r="GM16" s="1637">
        <f>IF(ABS(GK16-GL16)&gt;='Job Info.'!$L$22,ABS(GK16-GL16),0)</f>
        <v>0</v>
      </c>
      <c r="HA16" s="1263" t="s">
        <v>1472</v>
      </c>
      <c r="HB16" s="1264">
        <v>2</v>
      </c>
      <c r="HC16" s="1264" t="s">
        <v>1592</v>
      </c>
      <c r="HD16" s="1265">
        <v>39</v>
      </c>
      <c r="HE16" s="1266">
        <v>11.5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2.25</v>
      </c>
      <c r="HX16" s="1266">
        <v>4</v>
      </c>
      <c r="HY16" s="1266" t="s">
        <v>116</v>
      </c>
      <c r="HZ16" s="1266" t="s">
        <v>116</v>
      </c>
      <c r="IA16" s="1266" t="s">
        <v>1676</v>
      </c>
      <c r="IB16" s="1266"/>
      <c r="IC16" s="1266"/>
      <c r="ID16" s="1266"/>
      <c r="IE16" s="1266"/>
      <c r="IF16" s="1268"/>
    </row>
    <row r="17" spans="1:240" ht="12.6" customHeight="1" x14ac:dyDescent="0.25">
      <c r="A17" s="1448" t="s">
        <v>1473</v>
      </c>
      <c r="B17" s="1681">
        <v>84</v>
      </c>
      <c r="C17" s="1449" t="s">
        <v>1592</v>
      </c>
      <c r="D17" s="1705">
        <v>39</v>
      </c>
      <c r="E17" s="1706">
        <v>11.5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2.25</v>
      </c>
      <c r="X17" s="1713">
        <v>4</v>
      </c>
      <c r="Y17" s="1781" t="str">
        <f t="shared" si="13"/>
        <v/>
      </c>
      <c r="Z17" s="1782" t="str">
        <f t="shared" si="14"/>
        <v/>
      </c>
      <c r="AA17" s="1783" t="s">
        <v>1747</v>
      </c>
      <c r="AB17" s="1413"/>
      <c r="AC17" s="964" t="b">
        <v>0</v>
      </c>
      <c r="AD17" s="441">
        <f t="shared" si="15"/>
        <v>0</v>
      </c>
      <c r="AE17" s="442">
        <f t="shared" si="16"/>
        <v>84</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J43</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40</v>
      </c>
      <c r="GB17" s="1792">
        <v>0</v>
      </c>
      <c r="GC17" s="1793">
        <v>-0.25</v>
      </c>
      <c r="GD17" s="1794">
        <v>-0.25</v>
      </c>
      <c r="GE17" s="1795">
        <f t="shared" si="102"/>
        <v>0</v>
      </c>
      <c r="GF17" s="600" t="str">
        <f t="shared" si="103"/>
        <v>J43</v>
      </c>
      <c r="GG17" s="1130">
        <v>0</v>
      </c>
      <c r="GH17" s="1131">
        <v>0</v>
      </c>
      <c r="GI17" s="1130"/>
      <c r="GJ17" s="1131"/>
      <c r="GK17" s="1638">
        <f t="shared" si="104"/>
        <v>479.5</v>
      </c>
      <c r="GL17" s="1636">
        <f t="shared" si="105"/>
        <v>479.5</v>
      </c>
      <c r="GM17" s="1637">
        <f>IF(ABS(GK17-GL17)&gt;='Job Info.'!$L$22,ABS(GK17-GL17),0)</f>
        <v>0</v>
      </c>
      <c r="HA17" s="1269" t="s">
        <v>1473</v>
      </c>
      <c r="HB17" s="1270">
        <v>84</v>
      </c>
      <c r="HC17" s="1270" t="s">
        <v>1592</v>
      </c>
      <c r="HD17" s="1271">
        <v>39</v>
      </c>
      <c r="HE17" s="1272">
        <v>11.5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2.25</v>
      </c>
      <c r="HX17" s="1272">
        <v>4</v>
      </c>
      <c r="HY17" s="1272" t="s">
        <v>116</v>
      </c>
      <c r="HZ17" s="1272" t="s">
        <v>116</v>
      </c>
      <c r="IA17" s="1272" t="s">
        <v>1667</v>
      </c>
      <c r="IB17" s="1272"/>
      <c r="IC17" s="1272"/>
      <c r="ID17" s="1272"/>
      <c r="IE17" s="1272"/>
      <c r="IF17" s="1274"/>
    </row>
    <row r="18" spans="1:240" ht="12.6" customHeight="1" x14ac:dyDescent="0.25">
      <c r="A18" s="1448" t="s">
        <v>1474</v>
      </c>
      <c r="B18" s="1681">
        <v>9</v>
      </c>
      <c r="C18" s="1449" t="s">
        <v>1592</v>
      </c>
      <c r="D18" s="1705">
        <v>39</v>
      </c>
      <c r="E18" s="1706">
        <v>11.5</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v>0</v>
      </c>
      <c r="R18" s="1709">
        <v>6.75</v>
      </c>
      <c r="S18" s="1711">
        <v>2</v>
      </c>
      <c r="T18" s="1714">
        <v>0</v>
      </c>
      <c r="U18" s="1709">
        <v>2.25</v>
      </c>
      <c r="V18" s="1705">
        <v>0</v>
      </c>
      <c r="W18" s="1709">
        <v>2.25</v>
      </c>
      <c r="X18" s="1713">
        <v>4</v>
      </c>
      <c r="Y18" s="1781" t="str">
        <f t="shared" si="13"/>
        <v/>
      </c>
      <c r="Z18" s="1782" t="str">
        <f t="shared" si="14"/>
        <v/>
      </c>
      <c r="AA18" s="1783" t="s">
        <v>1748</v>
      </c>
      <c r="AB18" s="1413"/>
      <c r="AC18" s="964" t="b">
        <v>0</v>
      </c>
      <c r="AD18" s="441">
        <f t="shared" si="15"/>
        <v>0</v>
      </c>
      <c r="AE18" s="442">
        <f t="shared" si="16"/>
        <v>9</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TJ44</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v>
      </c>
      <c r="GC18" s="1793">
        <v>-0.25</v>
      </c>
      <c r="GD18" s="1794">
        <v>-0.25</v>
      </c>
      <c r="GE18" s="1795">
        <f t="shared" si="102"/>
        <v>0</v>
      </c>
      <c r="GF18" s="600" t="str">
        <f t="shared" si="103"/>
        <v>TJ44</v>
      </c>
      <c r="GG18" s="1130">
        <v>0</v>
      </c>
      <c r="GH18" s="1131">
        <v>0</v>
      </c>
      <c r="GI18" s="1130"/>
      <c r="GJ18" s="1131"/>
      <c r="GK18" s="1638">
        <f t="shared" si="104"/>
        <v>479.5</v>
      </c>
      <c r="GL18" s="1636">
        <f t="shared" si="105"/>
        <v>479.5</v>
      </c>
      <c r="GM18" s="1637">
        <f>IF(ABS(GK18-GL18)&gt;='Job Info.'!$L$22,ABS(GK18-GL18),0)</f>
        <v>0</v>
      </c>
      <c r="HA18" s="1269" t="s">
        <v>1474</v>
      </c>
      <c r="HB18" s="1270">
        <v>9</v>
      </c>
      <c r="HC18" s="1270" t="s">
        <v>1592</v>
      </c>
      <c r="HD18" s="1271">
        <v>39</v>
      </c>
      <c r="HE18" s="1272">
        <v>11.5</v>
      </c>
      <c r="HF18" s="1270" t="s">
        <v>116</v>
      </c>
      <c r="HG18" s="1270" t="s">
        <v>116</v>
      </c>
      <c r="HH18" s="1270" t="s">
        <v>116</v>
      </c>
      <c r="HI18" s="1273" t="s">
        <v>116</v>
      </c>
      <c r="HJ18" s="1270" t="s">
        <v>116</v>
      </c>
      <c r="HK18" s="1270" t="s">
        <v>116</v>
      </c>
      <c r="HL18" s="1270">
        <v>5</v>
      </c>
      <c r="HM18" s="1270">
        <v>5</v>
      </c>
      <c r="HN18" s="1270">
        <v>0</v>
      </c>
      <c r="HO18" s="1270">
        <v>6.75</v>
      </c>
      <c r="HP18" s="1270">
        <v>2</v>
      </c>
      <c r="HQ18" s="1273">
        <v>0</v>
      </c>
      <c r="HR18" s="1270">
        <v>6.75</v>
      </c>
      <c r="HS18" s="1270">
        <v>2</v>
      </c>
      <c r="HT18" s="1270">
        <v>0</v>
      </c>
      <c r="HU18" s="1270">
        <v>2.25</v>
      </c>
      <c r="HV18" s="1270">
        <v>0</v>
      </c>
      <c r="HW18" s="1272">
        <v>2.25</v>
      </c>
      <c r="HX18" s="1272">
        <v>4</v>
      </c>
      <c r="HY18" s="1272" t="s">
        <v>116</v>
      </c>
      <c r="HZ18" s="1272" t="s">
        <v>116</v>
      </c>
      <c r="IA18" s="1272" t="s">
        <v>1667</v>
      </c>
      <c r="IB18" s="1272"/>
      <c r="IC18" s="1272"/>
      <c r="ID18" s="1272"/>
      <c r="IE18" s="1272"/>
      <c r="IF18" s="1274"/>
    </row>
    <row r="19" spans="1:240" ht="12.6" customHeight="1" x14ac:dyDescent="0.25">
      <c r="A19" s="1448" t="s">
        <v>1475</v>
      </c>
      <c r="B19" s="1681">
        <v>2</v>
      </c>
      <c r="C19" s="1449" t="s">
        <v>1592</v>
      </c>
      <c r="D19" s="1705">
        <v>39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1749</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J45</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40</v>
      </c>
      <c r="GB19" s="1792">
        <v>0</v>
      </c>
      <c r="GC19" s="1793">
        <v>-0.25</v>
      </c>
      <c r="GD19" s="1794">
        <v>-0.25</v>
      </c>
      <c r="GE19" s="1795">
        <f t="shared" si="102"/>
        <v>0</v>
      </c>
      <c r="GF19" s="600" t="str">
        <f t="shared" si="103"/>
        <v>J45</v>
      </c>
      <c r="GG19" s="1130">
        <v>0</v>
      </c>
      <c r="GH19" s="1131">
        <v>0</v>
      </c>
      <c r="GI19" s="1130"/>
      <c r="GJ19" s="1131"/>
      <c r="GK19" s="1638">
        <f t="shared" si="104"/>
        <v>479.5</v>
      </c>
      <c r="GL19" s="1636">
        <f t="shared" si="105"/>
        <v>479.5</v>
      </c>
      <c r="GM19" s="1637">
        <f>IF(ABS(GK19-GL19)&gt;='Job Info.'!$L$22,ABS(GK19-GL19),0)</f>
        <v>0</v>
      </c>
      <c r="HA19" s="1269" t="s">
        <v>1475</v>
      </c>
      <c r="HB19" s="1270">
        <v>2</v>
      </c>
      <c r="HC19" s="1270" t="s">
        <v>1592</v>
      </c>
      <c r="HD19" s="1271">
        <v>39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1669</v>
      </c>
      <c r="IB19" s="1272"/>
      <c r="IC19" s="1272"/>
      <c r="ID19" s="1272"/>
      <c r="IE19" s="1272"/>
      <c r="IF19" s="1274"/>
    </row>
    <row r="20" spans="1:240" ht="12.6" customHeight="1" x14ac:dyDescent="0.25">
      <c r="A20" s="1448" t="s">
        <v>1476</v>
      </c>
      <c r="B20" s="1681">
        <v>4</v>
      </c>
      <c r="C20" s="1449" t="s">
        <v>1592</v>
      </c>
      <c r="D20" s="1705">
        <v>39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1750</v>
      </c>
      <c r="AB20" s="1413"/>
      <c r="AC20" s="964" t="b">
        <v>0</v>
      </c>
      <c r="AD20" s="441">
        <f t="shared" si="15"/>
        <v>0</v>
      </c>
      <c r="AE20" s="442">
        <f t="shared" si="16"/>
        <v>4</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J46</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40</v>
      </c>
      <c r="GB20" s="1792">
        <v>0</v>
      </c>
      <c r="GC20" s="1793">
        <v>-0.25</v>
      </c>
      <c r="GD20" s="1794">
        <v>-0.25</v>
      </c>
      <c r="GE20" s="1795">
        <f t="shared" si="102"/>
        <v>0</v>
      </c>
      <c r="GF20" s="600" t="str">
        <f t="shared" si="103"/>
        <v>J46</v>
      </c>
      <c r="GG20" s="1130">
        <v>0</v>
      </c>
      <c r="GH20" s="1131">
        <v>0</v>
      </c>
      <c r="GI20" s="1130"/>
      <c r="GJ20" s="1131"/>
      <c r="GK20" s="1638">
        <f t="shared" si="104"/>
        <v>479.5</v>
      </c>
      <c r="GL20" s="1636">
        <f t="shared" si="105"/>
        <v>479.5</v>
      </c>
      <c r="GM20" s="1637">
        <f>IF(ABS(GK20-GL20)&gt;='Job Info.'!$L$22,ABS(GK20-GL20),0)</f>
        <v>0</v>
      </c>
      <c r="HA20" s="1269" t="s">
        <v>1476</v>
      </c>
      <c r="HB20" s="1270">
        <v>4</v>
      </c>
      <c r="HC20" s="1270" t="s">
        <v>1592</v>
      </c>
      <c r="HD20" s="1271">
        <v>39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1670</v>
      </c>
      <c r="IB20" s="1272"/>
      <c r="IC20" s="1272"/>
      <c r="ID20" s="1272"/>
      <c r="IE20" s="1272"/>
      <c r="IF20" s="1274"/>
    </row>
    <row r="21" spans="1:240" ht="12.6" customHeight="1" x14ac:dyDescent="0.25">
      <c r="A21" s="1448" t="s">
        <v>1477</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1751</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J47</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J47</v>
      </c>
      <c r="GG21" s="1130">
        <v>0</v>
      </c>
      <c r="GH21" s="1131">
        <v>0</v>
      </c>
      <c r="GI21" s="1130"/>
      <c r="GJ21" s="1131"/>
      <c r="GK21" s="1638">
        <f t="shared" si="104"/>
        <v>829.5</v>
      </c>
      <c r="GL21" s="1636">
        <f t="shared" si="105"/>
        <v>829.5</v>
      </c>
      <c r="GM21" s="1637">
        <f>IF(ABS(GK21-GL21)&gt;='Job Info.'!$L$22,ABS(GK21-GL21),0)</f>
        <v>0</v>
      </c>
      <c r="HA21" s="1269" t="s">
        <v>1477</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1646</v>
      </c>
      <c r="IB21" s="1272"/>
      <c r="IC21" s="1272"/>
      <c r="ID21" s="1272"/>
      <c r="IE21" s="1272"/>
      <c r="IF21" s="1274"/>
    </row>
    <row r="22" spans="1:240" ht="12.6" customHeight="1" x14ac:dyDescent="0.25">
      <c r="A22" s="1448" t="s">
        <v>1478</v>
      </c>
      <c r="B22" s="1681">
        <v>2</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1752</v>
      </c>
      <c r="AB22" s="1413"/>
      <c r="AC22" s="964" t="b">
        <v>0</v>
      </c>
      <c r="AD22" s="441">
        <f t="shared" si="15"/>
        <v>0</v>
      </c>
      <c r="AE22" s="442">
        <f t="shared" si="16"/>
        <v>2</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J48</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J48</v>
      </c>
      <c r="GG22" s="1130">
        <v>0</v>
      </c>
      <c r="GH22" s="1131">
        <v>0</v>
      </c>
      <c r="GI22" s="1130"/>
      <c r="GJ22" s="1131"/>
      <c r="GK22" s="1638">
        <f t="shared" si="104"/>
        <v>829.5</v>
      </c>
      <c r="GL22" s="1636">
        <f t="shared" si="105"/>
        <v>829.5</v>
      </c>
      <c r="GM22" s="1637">
        <f>IF(ABS(GK22-GL22)&gt;='Job Info.'!$L$22,ABS(GK22-GL22),0)</f>
        <v>0</v>
      </c>
      <c r="HA22" s="1269" t="s">
        <v>1478</v>
      </c>
      <c r="HB22" s="1270">
        <v>2</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1647</v>
      </c>
      <c r="IB22" s="1272"/>
      <c r="IC22" s="1272"/>
      <c r="ID22" s="1272"/>
      <c r="IE22" s="1272"/>
      <c r="IF22" s="1274"/>
    </row>
    <row r="23" spans="1:240" ht="12.6" customHeight="1" x14ac:dyDescent="0.25">
      <c r="A23" s="1448" t="s">
        <v>1479</v>
      </c>
      <c r="B23" s="1681">
        <v>2</v>
      </c>
      <c r="C23" s="1449" t="s">
        <v>1593</v>
      </c>
      <c r="D23" s="1705">
        <v>69</v>
      </c>
      <c r="E23" s="1706">
        <v>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7"/>
        <v/>
      </c>
      <c r="O23" s="1709" t="str">
        <f t="shared" si="8"/>
        <v/>
      </c>
      <c r="P23" s="1710" t="str">
        <f t="shared" si="9"/>
        <v/>
      </c>
      <c r="Q23" s="1705" t="str">
        <f t="shared" si="10"/>
        <v/>
      </c>
      <c r="R23" s="1709" t="str">
        <f t="shared" si="11"/>
        <v/>
      </c>
      <c r="S23" s="1711" t="str">
        <f t="shared" si="12"/>
        <v/>
      </c>
      <c r="T23" s="1714">
        <v>0</v>
      </c>
      <c r="U23" s="1709">
        <v>2.25</v>
      </c>
      <c r="V23" s="1705">
        <v>0</v>
      </c>
      <c r="W23" s="1709">
        <v>2</v>
      </c>
      <c r="X23" s="1713">
        <v>4</v>
      </c>
      <c r="Y23" s="1781" t="str">
        <f t="shared" si="13"/>
        <v/>
      </c>
      <c r="Z23" s="1782" t="str">
        <f t="shared" si="14"/>
        <v/>
      </c>
      <c r="AA23" s="1783" t="s">
        <v>1753</v>
      </c>
      <c r="AB23" s="1413"/>
      <c r="AC23" s="964" t="b">
        <v>0</v>
      </c>
      <c r="AD23" s="441">
        <f t="shared" si="15"/>
        <v>0</v>
      </c>
      <c r="AE23" s="442">
        <f t="shared" si="16"/>
        <v>2</v>
      </c>
      <c r="AF23" s="442">
        <f t="shared" si="17"/>
        <v>0</v>
      </c>
      <c r="AG23" s="442">
        <f t="shared" si="18"/>
        <v>0</v>
      </c>
      <c r="AH23" s="443">
        <f t="shared" si="19"/>
        <v>0</v>
      </c>
      <c r="AI23" s="444" t="b">
        <v>0</v>
      </c>
      <c r="AJ23" s="238">
        <f t="shared" si="20"/>
        <v>44</v>
      </c>
      <c r="AK23" s="830" t="str">
        <f t="shared" si="21"/>
        <v>LH</v>
      </c>
      <c r="AL23" s="945" t="str">
        <f t="shared" si="22"/>
        <v/>
      </c>
      <c r="AM23" s="830">
        <f t="shared" si="23"/>
        <v>305</v>
      </c>
      <c r="AN23" s="830">
        <f t="shared" si="24"/>
        <v>180</v>
      </c>
      <c r="AO23" s="830" t="str">
        <f t="shared" si="25"/>
        <v/>
      </c>
      <c r="AP23" s="830" t="b">
        <f>IF(ISERROR(AJ23),FALSE,IF(OR(AJ23=0,ISERROR(AL23),ISERROR(AM23),ISERROR(AN23),ISERROR(AO23)),FALSE,IF(AL23&lt;&gt;"",IF(ISERROR(VLOOKUP(SUBSTITUTE(SUBSTITUTE(C23,"R",""),"A",""),TblJoistSize!$A:$A,1,FALSE)),FALSE,TRUE),TRUE)))</f>
        <v>1</v>
      </c>
      <c r="AQ23" s="1038">
        <f t="shared" si="26"/>
        <v>6</v>
      </c>
      <c r="AR23" s="945" t="b">
        <f t="shared" si="27"/>
        <v>1</v>
      </c>
      <c r="AS23" s="1038">
        <f t="shared" si="28"/>
        <v>6</v>
      </c>
      <c r="AT23" s="945" t="b">
        <f t="shared" si="29"/>
        <v>1</v>
      </c>
      <c r="AU23" s="946" t="str">
        <f t="shared" si="30"/>
        <v>LH</v>
      </c>
      <c r="AV23" s="830" t="str">
        <f t="shared" si="31"/>
        <v/>
      </c>
      <c r="AW23" s="830" t="str">
        <f t="shared" si="32"/>
        <v>LH</v>
      </c>
      <c r="AX23" s="830" t="str">
        <f t="shared" si="106"/>
        <v>J49</v>
      </c>
      <c r="AY23" s="1039" t="b">
        <f t="shared" si="33"/>
        <v>0</v>
      </c>
      <c r="AZ23" s="856" t="b">
        <f t="shared" si="34"/>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f t="shared" si="47"/>
        <v>5</v>
      </c>
      <c r="CS23" s="751">
        <f t="shared" si="48"/>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str">
        <f t="shared" si="70"/>
        <v>ERR</v>
      </c>
      <c r="EI23" s="856" t="str">
        <f t="shared" si="71"/>
        <v>ERR</v>
      </c>
      <c r="EJ23" s="822" t="str">
        <f t="shared" si="72"/>
        <v/>
      </c>
      <c r="EK23" s="822" t="str">
        <f t="shared" si="72"/>
        <v/>
      </c>
      <c r="EL23" s="1293" t="str">
        <f t="shared" si="73"/>
        <v/>
      </c>
      <c r="EM23" s="822" t="str">
        <f t="shared" si="74"/>
        <v/>
      </c>
      <c r="EN23" s="822" t="str">
        <f t="shared" si="75"/>
        <v/>
      </c>
      <c r="EO23" s="856" t="str">
        <f t="shared" si="76"/>
        <v>ERR</v>
      </c>
      <c r="EP23" s="856" t="str">
        <f t="shared" si="77"/>
        <v>ERR</v>
      </c>
      <c r="EQ23" s="1293" t="str">
        <f t="shared" si="78"/>
        <v/>
      </c>
      <c r="ER23" s="822" t="str">
        <f t="shared" si="78"/>
        <v/>
      </c>
      <c r="ES23" s="822" t="str">
        <f t="shared" si="79"/>
        <v/>
      </c>
      <c r="ET23" s="822" t="str">
        <f t="shared" si="80"/>
        <v/>
      </c>
      <c r="EU23" s="829">
        <f t="shared" si="81"/>
        <v>4</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v>69</v>
      </c>
      <c r="GB23" s="1792">
        <v>2.25</v>
      </c>
      <c r="GC23" s="1793">
        <v>-0.25</v>
      </c>
      <c r="GD23" s="1794">
        <v>-0.5</v>
      </c>
      <c r="GE23" s="1795">
        <f t="shared" si="102"/>
        <v>0</v>
      </c>
      <c r="GF23" s="600" t="str">
        <f t="shared" si="103"/>
        <v>J49</v>
      </c>
      <c r="GG23" s="1130">
        <v>0</v>
      </c>
      <c r="GH23" s="1131">
        <v>0</v>
      </c>
      <c r="GI23" s="1130"/>
      <c r="GJ23" s="1131"/>
      <c r="GK23" s="1638">
        <f t="shared" si="104"/>
        <v>829.5</v>
      </c>
      <c r="GL23" s="1636">
        <f t="shared" si="105"/>
        <v>829.5</v>
      </c>
      <c r="GM23" s="1637">
        <f>IF(ABS(GK23-GL23)&gt;='Job Info.'!$L$22,ABS(GK23-GL23),0)</f>
        <v>0</v>
      </c>
      <c r="HA23" s="1269" t="s">
        <v>1479</v>
      </c>
      <c r="HB23" s="1270">
        <v>2</v>
      </c>
      <c r="HC23" s="1270" t="s">
        <v>1593</v>
      </c>
      <c r="HD23" s="1271">
        <v>69</v>
      </c>
      <c r="HE23" s="1272">
        <v>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1648</v>
      </c>
      <c r="IB23" s="1272"/>
      <c r="IC23" s="1272"/>
      <c r="ID23" s="1272"/>
      <c r="IE23" s="1272"/>
      <c r="IF23" s="1274"/>
    </row>
    <row r="24" spans="1:240" ht="12.6" customHeight="1" x14ac:dyDescent="0.25">
      <c r="A24" s="1448" t="s">
        <v>1480</v>
      </c>
      <c r="B24" s="1681">
        <v>2</v>
      </c>
      <c r="C24" s="1449" t="s">
        <v>1593</v>
      </c>
      <c r="D24" s="1705">
        <v>69</v>
      </c>
      <c r="E24" s="1706">
        <v>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7"/>
        <v/>
      </c>
      <c r="O24" s="1709" t="str">
        <f t="shared" si="8"/>
        <v/>
      </c>
      <c r="P24" s="1710" t="str">
        <f t="shared" si="9"/>
        <v/>
      </c>
      <c r="Q24" s="1705" t="str">
        <f t="shared" si="10"/>
        <v/>
      </c>
      <c r="R24" s="1709" t="str">
        <f t="shared" si="11"/>
        <v/>
      </c>
      <c r="S24" s="1711" t="str">
        <f t="shared" si="12"/>
        <v/>
      </c>
      <c r="T24" s="1714">
        <v>0</v>
      </c>
      <c r="U24" s="1709">
        <v>2.25</v>
      </c>
      <c r="V24" s="1705">
        <v>0</v>
      </c>
      <c r="W24" s="1709">
        <v>2</v>
      </c>
      <c r="X24" s="1713">
        <v>4</v>
      </c>
      <c r="Y24" s="1781" t="str">
        <f t="shared" si="13"/>
        <v/>
      </c>
      <c r="Z24" s="1782" t="str">
        <f t="shared" si="14"/>
        <v/>
      </c>
      <c r="AA24" s="1783" t="s">
        <v>1754</v>
      </c>
      <c r="AB24" s="1413"/>
      <c r="AC24" s="964" t="b">
        <v>0</v>
      </c>
      <c r="AD24" s="441">
        <f t="shared" si="15"/>
        <v>0</v>
      </c>
      <c r="AE24" s="442">
        <f t="shared" si="16"/>
        <v>2</v>
      </c>
      <c r="AF24" s="442">
        <f t="shared" si="17"/>
        <v>0</v>
      </c>
      <c r="AG24" s="442">
        <f t="shared" si="18"/>
        <v>0</v>
      </c>
      <c r="AH24" s="443">
        <f t="shared" si="19"/>
        <v>0</v>
      </c>
      <c r="AI24" s="444" t="b">
        <v>0</v>
      </c>
      <c r="AJ24" s="238">
        <f t="shared" si="20"/>
        <v>44</v>
      </c>
      <c r="AK24" s="830" t="str">
        <f t="shared" si="21"/>
        <v>LH</v>
      </c>
      <c r="AL24" s="945" t="str">
        <f t="shared" si="22"/>
        <v/>
      </c>
      <c r="AM24" s="830">
        <f t="shared" si="23"/>
        <v>305</v>
      </c>
      <c r="AN24" s="830">
        <f t="shared" si="24"/>
        <v>180</v>
      </c>
      <c r="AO24" s="830" t="str">
        <f t="shared" si="25"/>
        <v/>
      </c>
      <c r="AP24" s="830" t="b">
        <f>IF(ISERROR(AJ24),FALSE,IF(OR(AJ24=0,ISERROR(AL24),ISERROR(AM24),ISERROR(AN24),ISERROR(AO24)),FALSE,IF(AL24&lt;&gt;"",IF(ISERROR(VLOOKUP(SUBSTITUTE(SUBSTITUTE(C24,"R",""),"A",""),TblJoistSize!$A:$A,1,FALSE)),FALSE,TRUE),TRUE)))</f>
        <v>1</v>
      </c>
      <c r="AQ24" s="1038">
        <f t="shared" si="26"/>
        <v>6</v>
      </c>
      <c r="AR24" s="945" t="b">
        <f t="shared" si="27"/>
        <v>1</v>
      </c>
      <c r="AS24" s="1038">
        <f t="shared" si="28"/>
        <v>6</v>
      </c>
      <c r="AT24" s="945" t="b">
        <f t="shared" si="29"/>
        <v>1</v>
      </c>
      <c r="AU24" s="946" t="str">
        <f t="shared" si="30"/>
        <v>LH</v>
      </c>
      <c r="AV24" s="830" t="str">
        <f t="shared" si="31"/>
        <v/>
      </c>
      <c r="AW24" s="830" t="str">
        <f t="shared" si="32"/>
        <v>LH</v>
      </c>
      <c r="AX24" s="830" t="str">
        <f t="shared" si="106"/>
        <v>J50</v>
      </c>
      <c r="AY24" s="1039" t="b">
        <f t="shared" si="33"/>
        <v>0</v>
      </c>
      <c r="AZ24" s="856" t="b">
        <f t="shared" si="34"/>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f t="shared" si="47"/>
        <v>5</v>
      </c>
      <c r="CS24" s="751">
        <f t="shared" si="48"/>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str">
        <f t="shared" si="70"/>
        <v>ERR</v>
      </c>
      <c r="EI24" s="856" t="str">
        <f t="shared" si="71"/>
        <v>ERR</v>
      </c>
      <c r="EJ24" s="822" t="str">
        <f t="shared" si="72"/>
        <v/>
      </c>
      <c r="EK24" s="822" t="str">
        <f t="shared" si="72"/>
        <v/>
      </c>
      <c r="EL24" s="1293" t="str">
        <f t="shared" si="73"/>
        <v/>
      </c>
      <c r="EM24" s="822" t="str">
        <f t="shared" si="74"/>
        <v/>
      </c>
      <c r="EN24" s="822" t="str">
        <f t="shared" si="75"/>
        <v/>
      </c>
      <c r="EO24" s="856" t="str">
        <f t="shared" si="76"/>
        <v>ERR</v>
      </c>
      <c r="EP24" s="856" t="str">
        <f t="shared" si="77"/>
        <v>ERR</v>
      </c>
      <c r="EQ24" s="1293" t="str">
        <f t="shared" si="78"/>
        <v/>
      </c>
      <c r="ER24" s="822" t="str">
        <f t="shared" si="78"/>
        <v/>
      </c>
      <c r="ES24" s="822" t="str">
        <f t="shared" si="79"/>
        <v/>
      </c>
      <c r="ET24" s="822" t="str">
        <f t="shared" si="80"/>
        <v/>
      </c>
      <c r="EU24" s="829">
        <f t="shared" si="81"/>
        <v>4</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v>69</v>
      </c>
      <c r="GB24" s="1792">
        <v>2.25</v>
      </c>
      <c r="GC24" s="1793">
        <v>-0.25</v>
      </c>
      <c r="GD24" s="1794">
        <v>-0.5</v>
      </c>
      <c r="GE24" s="1795">
        <f t="shared" si="102"/>
        <v>0</v>
      </c>
      <c r="GF24" s="600" t="str">
        <f t="shared" si="103"/>
        <v>J50</v>
      </c>
      <c r="GG24" s="1130">
        <v>0</v>
      </c>
      <c r="GH24" s="1131">
        <v>0</v>
      </c>
      <c r="GI24" s="1130"/>
      <c r="GJ24" s="1131"/>
      <c r="GK24" s="1638">
        <f t="shared" si="104"/>
        <v>829.5</v>
      </c>
      <c r="GL24" s="1636">
        <f t="shared" si="105"/>
        <v>829.5</v>
      </c>
      <c r="GM24" s="1637">
        <f>IF(ABS(GK24-GL24)&gt;='Job Info.'!$L$22,ABS(GK24-GL24),0)</f>
        <v>0</v>
      </c>
      <c r="HA24" s="1269" t="s">
        <v>1480</v>
      </c>
      <c r="HB24" s="1270">
        <v>2</v>
      </c>
      <c r="HC24" s="1270" t="s">
        <v>1593</v>
      </c>
      <c r="HD24" s="1271">
        <v>69</v>
      </c>
      <c r="HE24" s="1272">
        <v>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v>
      </c>
      <c r="HX24" s="1272">
        <v>4</v>
      </c>
      <c r="HY24" s="1272" t="s">
        <v>116</v>
      </c>
      <c r="HZ24" s="1272" t="s">
        <v>116</v>
      </c>
      <c r="IA24" s="1272" t="s">
        <v>1649</v>
      </c>
      <c r="IB24" s="1272"/>
      <c r="IC24" s="1272"/>
      <c r="ID24" s="1272"/>
      <c r="IE24" s="1272"/>
      <c r="IF24" s="1274"/>
    </row>
    <row r="25" spans="1:240" ht="12.6" customHeight="1" x14ac:dyDescent="0.25">
      <c r="A25" s="1448" t="s">
        <v>1481</v>
      </c>
      <c r="B25" s="1681">
        <v>1</v>
      </c>
      <c r="C25" s="1449" t="s">
        <v>1593</v>
      </c>
      <c r="D25" s="1705">
        <v>69</v>
      </c>
      <c r="E25" s="1706">
        <v>1.5</v>
      </c>
      <c r="F25" s="1714" t="str">
        <f t="shared" si="1"/>
        <v/>
      </c>
      <c r="G25" s="1709" t="str">
        <f t="shared" si="2"/>
        <v/>
      </c>
      <c r="H25" s="1779" t="str">
        <f t="shared" si="3"/>
        <v/>
      </c>
      <c r="I25" s="1705" t="str">
        <f t="shared" si="4"/>
        <v/>
      </c>
      <c r="J25" s="1709" t="str">
        <f t="shared" si="5"/>
        <v/>
      </c>
      <c r="K25" s="1796" t="str">
        <f t="shared" si="6"/>
        <v/>
      </c>
      <c r="L25" s="1712">
        <v>5</v>
      </c>
      <c r="M25" s="1713">
        <v>5</v>
      </c>
      <c r="N25" s="1708" t="str">
        <f t="shared" si="7"/>
        <v/>
      </c>
      <c r="O25" s="1709" t="str">
        <f t="shared" si="8"/>
        <v/>
      </c>
      <c r="P25" s="1710" t="str">
        <f t="shared" si="9"/>
        <v/>
      </c>
      <c r="Q25" s="1705" t="str">
        <f t="shared" si="10"/>
        <v/>
      </c>
      <c r="R25" s="1709" t="str">
        <f t="shared" si="11"/>
        <v/>
      </c>
      <c r="S25" s="1711" t="str">
        <f t="shared" si="12"/>
        <v/>
      </c>
      <c r="T25" s="1714">
        <v>0</v>
      </c>
      <c r="U25" s="1709">
        <v>2.25</v>
      </c>
      <c r="V25" s="1705">
        <v>0</v>
      </c>
      <c r="W25" s="1709">
        <v>2</v>
      </c>
      <c r="X25" s="1713">
        <v>4</v>
      </c>
      <c r="Y25" s="1781" t="str">
        <f t="shared" si="13"/>
        <v/>
      </c>
      <c r="Z25" s="1782" t="str">
        <f t="shared" si="14"/>
        <v/>
      </c>
      <c r="AA25" s="1783" t="s">
        <v>1755</v>
      </c>
      <c r="AB25" s="1413"/>
      <c r="AC25" s="964" t="b">
        <v>0</v>
      </c>
      <c r="AD25" s="441">
        <f t="shared" si="15"/>
        <v>0</v>
      </c>
      <c r="AE25" s="442">
        <f t="shared" si="16"/>
        <v>1</v>
      </c>
      <c r="AF25" s="442">
        <f t="shared" si="17"/>
        <v>0</v>
      </c>
      <c r="AG25" s="442">
        <f t="shared" si="18"/>
        <v>0</v>
      </c>
      <c r="AH25" s="443">
        <f t="shared" si="19"/>
        <v>0</v>
      </c>
      <c r="AI25" s="444" t="b">
        <v>0</v>
      </c>
      <c r="AJ25" s="238">
        <f t="shared" si="20"/>
        <v>44</v>
      </c>
      <c r="AK25" s="830" t="str">
        <f t="shared" si="21"/>
        <v>LH</v>
      </c>
      <c r="AL25" s="945" t="str">
        <f t="shared" si="22"/>
        <v/>
      </c>
      <c r="AM25" s="830">
        <f t="shared" si="23"/>
        <v>305</v>
      </c>
      <c r="AN25" s="830">
        <f t="shared" si="24"/>
        <v>180</v>
      </c>
      <c r="AO25" s="830" t="str">
        <f t="shared" si="25"/>
        <v/>
      </c>
      <c r="AP25" s="830" t="b">
        <f>IF(ISERROR(AJ25),FALSE,IF(OR(AJ25=0,ISERROR(AL25),ISERROR(AM25),ISERROR(AN25),ISERROR(AO25)),FALSE,IF(AL25&lt;&gt;"",IF(ISERROR(VLOOKUP(SUBSTITUTE(SUBSTITUTE(C25,"R",""),"A",""),TblJoistSize!$A:$A,1,FALSE)),FALSE,TRUE),TRUE)))</f>
        <v>1</v>
      </c>
      <c r="AQ25" s="1038">
        <f t="shared" si="26"/>
        <v>6</v>
      </c>
      <c r="AR25" s="945" t="b">
        <f t="shared" si="27"/>
        <v>1</v>
      </c>
      <c r="AS25" s="1038">
        <f t="shared" si="28"/>
        <v>6</v>
      </c>
      <c r="AT25" s="945" t="b">
        <f t="shared" si="29"/>
        <v>1</v>
      </c>
      <c r="AU25" s="946" t="str">
        <f t="shared" si="30"/>
        <v>LH</v>
      </c>
      <c r="AV25" s="830" t="str">
        <f t="shared" si="31"/>
        <v/>
      </c>
      <c r="AW25" s="830" t="str">
        <f t="shared" si="32"/>
        <v>LH</v>
      </c>
      <c r="AX25" s="830" t="str">
        <f t="shared" si="106"/>
        <v>J51</v>
      </c>
      <c r="AY25" s="1039" t="b">
        <f t="shared" si="33"/>
        <v>0</v>
      </c>
      <c r="AZ25" s="856" t="b">
        <f t="shared" si="34"/>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f t="shared" si="47"/>
        <v>5</v>
      </c>
      <c r="CS25" s="751">
        <f t="shared" si="48"/>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str">
        <f t="shared" si="70"/>
        <v>ERR</v>
      </c>
      <c r="EI25" s="856" t="str">
        <f t="shared" si="71"/>
        <v>ERR</v>
      </c>
      <c r="EJ25" s="822" t="str">
        <f t="shared" si="72"/>
        <v/>
      </c>
      <c r="EK25" s="822" t="str">
        <f t="shared" si="72"/>
        <v/>
      </c>
      <c r="EL25" s="1293" t="str">
        <f t="shared" si="73"/>
        <v/>
      </c>
      <c r="EM25" s="822" t="str">
        <f t="shared" si="74"/>
        <v/>
      </c>
      <c r="EN25" s="822" t="str">
        <f t="shared" si="75"/>
        <v/>
      </c>
      <c r="EO25" s="856" t="str">
        <f t="shared" si="76"/>
        <v>ERR</v>
      </c>
      <c r="EP25" s="856" t="str">
        <f t="shared" si="77"/>
        <v>ERR</v>
      </c>
      <c r="EQ25" s="1293" t="str">
        <f t="shared" si="78"/>
        <v/>
      </c>
      <c r="ER25" s="822" t="str">
        <f t="shared" si="78"/>
        <v/>
      </c>
      <c r="ES25" s="822" t="str">
        <f t="shared" si="79"/>
        <v/>
      </c>
      <c r="ET25" s="822" t="str">
        <f t="shared" si="80"/>
        <v/>
      </c>
      <c r="EU25" s="829">
        <f t="shared" si="81"/>
        <v>4</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v>69</v>
      </c>
      <c r="GB25" s="1792">
        <v>2.25</v>
      </c>
      <c r="GC25" s="1793">
        <v>-0.25</v>
      </c>
      <c r="GD25" s="1794">
        <v>-0.5</v>
      </c>
      <c r="GE25" s="1795">
        <f t="shared" si="102"/>
        <v>0</v>
      </c>
      <c r="GF25" s="600" t="str">
        <f t="shared" si="103"/>
        <v>J51</v>
      </c>
      <c r="GG25" s="1130">
        <v>0</v>
      </c>
      <c r="GH25" s="1131">
        <v>0</v>
      </c>
      <c r="GI25" s="1130"/>
      <c r="GJ25" s="1131"/>
      <c r="GK25" s="1638">
        <f t="shared" si="104"/>
        <v>829.5</v>
      </c>
      <c r="GL25" s="1636">
        <f t="shared" si="105"/>
        <v>829.5</v>
      </c>
      <c r="GM25" s="1637">
        <f>IF(ABS(GK25-GL25)&gt;='Job Info.'!$L$22,ABS(GK25-GL25),0)</f>
        <v>0</v>
      </c>
      <c r="HA25" s="1269" t="s">
        <v>1481</v>
      </c>
      <c r="HB25" s="1270">
        <v>1</v>
      </c>
      <c r="HC25" s="1270" t="s">
        <v>1593</v>
      </c>
      <c r="HD25" s="1271">
        <v>69</v>
      </c>
      <c r="HE25" s="1272">
        <v>1.5</v>
      </c>
      <c r="HF25" s="1270" t="s">
        <v>116</v>
      </c>
      <c r="HG25" s="1270" t="s">
        <v>116</v>
      </c>
      <c r="HH25" s="1270" t="s">
        <v>116</v>
      </c>
      <c r="HI25" s="1273" t="s">
        <v>116</v>
      </c>
      <c r="HJ25" s="1270" t="s">
        <v>116</v>
      </c>
      <c r="HK25" s="1270" t="s">
        <v>116</v>
      </c>
      <c r="HL25" s="1270">
        <v>5</v>
      </c>
      <c r="HM25" s="1270">
        <v>5</v>
      </c>
      <c r="HN25" s="1270" t="s">
        <v>116</v>
      </c>
      <c r="HO25" s="1270" t="s">
        <v>116</v>
      </c>
      <c r="HP25" s="1270" t="s">
        <v>116</v>
      </c>
      <c r="HQ25" s="1273" t="s">
        <v>116</v>
      </c>
      <c r="HR25" s="1270" t="s">
        <v>116</v>
      </c>
      <c r="HS25" s="1270" t="s">
        <v>116</v>
      </c>
      <c r="HT25" s="1270">
        <v>0</v>
      </c>
      <c r="HU25" s="1270">
        <v>2.25</v>
      </c>
      <c r="HV25" s="1270">
        <v>0</v>
      </c>
      <c r="HW25" s="1272">
        <v>2</v>
      </c>
      <c r="HX25" s="1272">
        <v>4</v>
      </c>
      <c r="HY25" s="1272" t="s">
        <v>116</v>
      </c>
      <c r="HZ25" s="1272" t="s">
        <v>116</v>
      </c>
      <c r="IA25" s="1272" t="s">
        <v>1650</v>
      </c>
      <c r="IB25" s="1272"/>
      <c r="IC25" s="1272"/>
      <c r="ID25" s="1272"/>
      <c r="IE25" s="1272"/>
      <c r="IF25" s="1274"/>
    </row>
    <row r="26" spans="1:240" ht="12.6" customHeight="1" x14ac:dyDescent="0.25">
      <c r="A26" s="1448" t="s">
        <v>1482</v>
      </c>
      <c r="B26" s="1681">
        <v>2</v>
      </c>
      <c r="C26" s="1449" t="s">
        <v>1593</v>
      </c>
      <c r="D26" s="1705">
        <v>69</v>
      </c>
      <c r="E26" s="1706">
        <v>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7"/>
        <v/>
      </c>
      <c r="O26" s="1709" t="str">
        <f t="shared" si="8"/>
        <v/>
      </c>
      <c r="P26" s="1710" t="str">
        <f t="shared" si="9"/>
        <v/>
      </c>
      <c r="Q26" s="1705" t="str">
        <f t="shared" si="10"/>
        <v/>
      </c>
      <c r="R26" s="1709" t="str">
        <f t="shared" si="11"/>
        <v/>
      </c>
      <c r="S26" s="1711" t="str">
        <f t="shared" si="12"/>
        <v/>
      </c>
      <c r="T26" s="1714">
        <v>0</v>
      </c>
      <c r="U26" s="1709">
        <v>2.25</v>
      </c>
      <c r="V26" s="1705">
        <v>0</v>
      </c>
      <c r="W26" s="1709">
        <v>2</v>
      </c>
      <c r="X26" s="1713">
        <v>4</v>
      </c>
      <c r="Y26" s="1781" t="str">
        <f t="shared" si="13"/>
        <v/>
      </c>
      <c r="Z26" s="1782" t="str">
        <f t="shared" si="14"/>
        <v/>
      </c>
      <c r="AA26" s="1783" t="s">
        <v>1756</v>
      </c>
      <c r="AB26" s="1413"/>
      <c r="AC26" s="964" t="b">
        <v>0</v>
      </c>
      <c r="AD26" s="441">
        <f t="shared" si="15"/>
        <v>0</v>
      </c>
      <c r="AE26" s="442">
        <f t="shared" si="16"/>
        <v>2</v>
      </c>
      <c r="AF26" s="442">
        <f t="shared" si="17"/>
        <v>0</v>
      </c>
      <c r="AG26" s="442">
        <f t="shared" si="18"/>
        <v>0</v>
      </c>
      <c r="AH26" s="443">
        <f t="shared" si="19"/>
        <v>0</v>
      </c>
      <c r="AI26" s="444" t="b">
        <v>0</v>
      </c>
      <c r="AJ26" s="238">
        <f t="shared" si="20"/>
        <v>44</v>
      </c>
      <c r="AK26" s="830" t="str">
        <f t="shared" si="21"/>
        <v>LH</v>
      </c>
      <c r="AL26" s="945" t="str">
        <f t="shared" si="22"/>
        <v/>
      </c>
      <c r="AM26" s="830">
        <f t="shared" si="23"/>
        <v>305</v>
      </c>
      <c r="AN26" s="830">
        <f t="shared" si="24"/>
        <v>180</v>
      </c>
      <c r="AO26" s="830" t="str">
        <f t="shared" si="25"/>
        <v/>
      </c>
      <c r="AP26" s="830" t="b">
        <f>IF(ISERROR(AJ26),FALSE,IF(OR(AJ26=0,ISERROR(AL26),ISERROR(AM26),ISERROR(AN26),ISERROR(AO26)),FALSE,IF(AL26&lt;&gt;"",IF(ISERROR(VLOOKUP(SUBSTITUTE(SUBSTITUTE(C26,"R",""),"A",""),TblJoistSize!$A:$A,1,FALSE)),FALSE,TRUE),TRUE)))</f>
        <v>1</v>
      </c>
      <c r="AQ26" s="1038">
        <f t="shared" si="26"/>
        <v>6</v>
      </c>
      <c r="AR26" s="945" t="b">
        <f t="shared" si="27"/>
        <v>1</v>
      </c>
      <c r="AS26" s="1038">
        <f t="shared" si="28"/>
        <v>6</v>
      </c>
      <c r="AT26" s="945" t="b">
        <f t="shared" si="29"/>
        <v>1</v>
      </c>
      <c r="AU26" s="946" t="str">
        <f t="shared" si="30"/>
        <v>LH</v>
      </c>
      <c r="AV26" s="830" t="str">
        <f t="shared" si="31"/>
        <v/>
      </c>
      <c r="AW26" s="830" t="str">
        <f t="shared" si="32"/>
        <v>LH</v>
      </c>
      <c r="AX26" s="830" t="str">
        <f t="shared" si="106"/>
        <v>J52</v>
      </c>
      <c r="AY26" s="1039" t="b">
        <f t="shared" si="33"/>
        <v>0</v>
      </c>
      <c r="AZ26" s="856" t="b">
        <f t="shared" si="34"/>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f t="shared" si="47"/>
        <v>5</v>
      </c>
      <c r="CS26" s="751">
        <f t="shared" si="48"/>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str">
        <f t="shared" si="70"/>
        <v>ERR</v>
      </c>
      <c r="EI26" s="856" t="str">
        <f t="shared" si="71"/>
        <v>ERR</v>
      </c>
      <c r="EJ26" s="822" t="str">
        <f t="shared" si="72"/>
        <v/>
      </c>
      <c r="EK26" s="822" t="str">
        <f t="shared" si="72"/>
        <v/>
      </c>
      <c r="EL26" s="1293" t="str">
        <f t="shared" si="73"/>
        <v/>
      </c>
      <c r="EM26" s="822" t="str">
        <f t="shared" si="74"/>
        <v/>
      </c>
      <c r="EN26" s="822" t="str">
        <f t="shared" si="75"/>
        <v/>
      </c>
      <c r="EO26" s="856" t="str">
        <f t="shared" si="76"/>
        <v>ERR</v>
      </c>
      <c r="EP26" s="856" t="str">
        <f t="shared" si="77"/>
        <v>ERR</v>
      </c>
      <c r="EQ26" s="1293" t="str">
        <f t="shared" si="78"/>
        <v/>
      </c>
      <c r="ER26" s="822" t="str">
        <f t="shared" si="78"/>
        <v/>
      </c>
      <c r="ES26" s="822" t="str">
        <f t="shared" si="79"/>
        <v/>
      </c>
      <c r="ET26" s="822" t="str">
        <f t="shared" si="80"/>
        <v/>
      </c>
      <c r="EU26" s="829">
        <f t="shared" si="81"/>
        <v>4</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v>69</v>
      </c>
      <c r="GB26" s="1792">
        <v>2.25</v>
      </c>
      <c r="GC26" s="1793">
        <v>-0.25</v>
      </c>
      <c r="GD26" s="1794">
        <v>-0.5</v>
      </c>
      <c r="GE26" s="1795">
        <f t="shared" si="102"/>
        <v>0</v>
      </c>
      <c r="GF26" s="600" t="str">
        <f t="shared" si="103"/>
        <v>J52</v>
      </c>
      <c r="GG26" s="1130">
        <v>0</v>
      </c>
      <c r="GH26" s="1131">
        <v>0</v>
      </c>
      <c r="GI26" s="1130"/>
      <c r="GJ26" s="1131"/>
      <c r="GK26" s="1638">
        <f t="shared" si="104"/>
        <v>829.5</v>
      </c>
      <c r="GL26" s="1636">
        <f t="shared" si="105"/>
        <v>829.5</v>
      </c>
      <c r="GM26" s="1637">
        <f>IF(ABS(GK26-GL26)&gt;='Job Info.'!$L$22,ABS(GK26-GL26),0)</f>
        <v>0</v>
      </c>
      <c r="HA26" s="1269" t="s">
        <v>1482</v>
      </c>
      <c r="HB26" s="1270">
        <v>2</v>
      </c>
      <c r="HC26" s="1270" t="s">
        <v>1593</v>
      </c>
      <c r="HD26" s="1271">
        <v>69</v>
      </c>
      <c r="HE26" s="1272">
        <v>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v>
      </c>
      <c r="HX26" s="1272">
        <v>4</v>
      </c>
      <c r="HY26" s="1272" t="s">
        <v>116</v>
      </c>
      <c r="HZ26" s="1272" t="s">
        <v>116</v>
      </c>
      <c r="IA26" s="1272" t="s">
        <v>1651</v>
      </c>
      <c r="IB26" s="1272"/>
      <c r="IC26" s="1272"/>
      <c r="ID26" s="1272"/>
      <c r="IE26" s="1272"/>
      <c r="IF26" s="1274"/>
    </row>
    <row r="27" spans="1:240" ht="12.6" customHeight="1" x14ac:dyDescent="0.25">
      <c r="A27" s="1448" t="s">
        <v>1483</v>
      </c>
      <c r="B27" s="1681">
        <v>50</v>
      </c>
      <c r="C27" s="1449" t="s">
        <v>1593</v>
      </c>
      <c r="D27" s="1705">
        <v>69</v>
      </c>
      <c r="E27" s="1706">
        <v>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7"/>
        <v/>
      </c>
      <c r="O27" s="1709" t="str">
        <f t="shared" si="8"/>
        <v/>
      </c>
      <c r="P27" s="1710" t="str">
        <f t="shared" si="9"/>
        <v/>
      </c>
      <c r="Q27" s="1705" t="str">
        <f t="shared" si="10"/>
        <v/>
      </c>
      <c r="R27" s="1709" t="str">
        <f t="shared" si="11"/>
        <v/>
      </c>
      <c r="S27" s="1711" t="str">
        <f t="shared" si="12"/>
        <v/>
      </c>
      <c r="T27" s="1714">
        <v>0</v>
      </c>
      <c r="U27" s="1709">
        <v>2.25</v>
      </c>
      <c r="V27" s="1705">
        <v>0</v>
      </c>
      <c r="W27" s="1709">
        <v>2</v>
      </c>
      <c r="X27" s="1713">
        <v>4</v>
      </c>
      <c r="Y27" s="1781" t="str">
        <f t="shared" si="13"/>
        <v/>
      </c>
      <c r="Z27" s="1782" t="str">
        <f t="shared" si="14"/>
        <v/>
      </c>
      <c r="AA27" s="1783" t="s">
        <v>1757</v>
      </c>
      <c r="AB27" s="1413"/>
      <c r="AC27" s="964" t="b">
        <v>0</v>
      </c>
      <c r="AD27" s="441">
        <f t="shared" si="15"/>
        <v>0</v>
      </c>
      <c r="AE27" s="442">
        <f t="shared" si="16"/>
        <v>50</v>
      </c>
      <c r="AF27" s="442">
        <f t="shared" si="17"/>
        <v>0</v>
      </c>
      <c r="AG27" s="442">
        <f t="shared" si="18"/>
        <v>0</v>
      </c>
      <c r="AH27" s="443">
        <f t="shared" si="19"/>
        <v>0</v>
      </c>
      <c r="AI27" s="444" t="b">
        <v>0</v>
      </c>
      <c r="AJ27" s="238">
        <f t="shared" si="20"/>
        <v>44</v>
      </c>
      <c r="AK27" s="830" t="str">
        <f t="shared" si="21"/>
        <v>LH</v>
      </c>
      <c r="AL27" s="945" t="str">
        <f t="shared" si="22"/>
        <v/>
      </c>
      <c r="AM27" s="830">
        <f t="shared" si="23"/>
        <v>305</v>
      </c>
      <c r="AN27" s="830">
        <f t="shared" si="24"/>
        <v>180</v>
      </c>
      <c r="AO27" s="830" t="str">
        <f t="shared" si="25"/>
        <v/>
      </c>
      <c r="AP27" s="830" t="b">
        <f>IF(ISERROR(AJ27),FALSE,IF(OR(AJ27=0,ISERROR(AL27),ISERROR(AM27),ISERROR(AN27),ISERROR(AO27)),FALSE,IF(AL27&lt;&gt;"",IF(ISERROR(VLOOKUP(SUBSTITUTE(SUBSTITUTE(C27,"R",""),"A",""),TblJoistSize!$A:$A,1,FALSE)),FALSE,TRUE),TRUE)))</f>
        <v>1</v>
      </c>
      <c r="AQ27" s="1038">
        <f t="shared" si="26"/>
        <v>6</v>
      </c>
      <c r="AR27" s="945" t="b">
        <f t="shared" si="27"/>
        <v>1</v>
      </c>
      <c r="AS27" s="1038">
        <f t="shared" si="28"/>
        <v>6</v>
      </c>
      <c r="AT27" s="945" t="b">
        <f t="shared" si="29"/>
        <v>1</v>
      </c>
      <c r="AU27" s="946" t="str">
        <f t="shared" si="30"/>
        <v>LH</v>
      </c>
      <c r="AV27" s="830" t="str">
        <f t="shared" si="31"/>
        <v/>
      </c>
      <c r="AW27" s="830" t="str">
        <f t="shared" si="32"/>
        <v>LH</v>
      </c>
      <c r="AX27" s="830" t="str">
        <f t="shared" si="106"/>
        <v>J53</v>
      </c>
      <c r="AY27" s="1039" t="b">
        <f t="shared" si="33"/>
        <v>0</v>
      </c>
      <c r="AZ27" s="856" t="b">
        <f t="shared" si="34"/>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f t="shared" si="47"/>
        <v>5</v>
      </c>
      <c r="CS27" s="751">
        <f t="shared" si="48"/>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str">
        <f t="shared" si="70"/>
        <v>ERR</v>
      </c>
      <c r="EI27" s="856" t="str">
        <f t="shared" si="71"/>
        <v>ERR</v>
      </c>
      <c r="EJ27" s="822" t="str">
        <f t="shared" si="72"/>
        <v/>
      </c>
      <c r="EK27" s="822" t="str">
        <f t="shared" si="72"/>
        <v/>
      </c>
      <c r="EL27" s="1293" t="str">
        <f t="shared" si="73"/>
        <v/>
      </c>
      <c r="EM27" s="822" t="str">
        <f t="shared" si="74"/>
        <v/>
      </c>
      <c r="EN27" s="822" t="str">
        <f t="shared" si="75"/>
        <v/>
      </c>
      <c r="EO27" s="856" t="str">
        <f t="shared" si="76"/>
        <v>ERR</v>
      </c>
      <c r="EP27" s="856" t="str">
        <f t="shared" si="77"/>
        <v>ERR</v>
      </c>
      <c r="EQ27" s="1293" t="str">
        <f t="shared" si="78"/>
        <v/>
      </c>
      <c r="ER27" s="822" t="str">
        <f t="shared" si="78"/>
        <v/>
      </c>
      <c r="ES27" s="822" t="str">
        <f t="shared" si="79"/>
        <v/>
      </c>
      <c r="ET27" s="822" t="str">
        <f t="shared" si="80"/>
        <v/>
      </c>
      <c r="EU27" s="829">
        <f t="shared" si="81"/>
        <v>4</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v>69</v>
      </c>
      <c r="GB27" s="1792">
        <v>2.25</v>
      </c>
      <c r="GC27" s="1793">
        <v>-0.25</v>
      </c>
      <c r="GD27" s="1794">
        <v>-0.5</v>
      </c>
      <c r="GE27" s="1795">
        <f t="shared" si="102"/>
        <v>0</v>
      </c>
      <c r="GF27" s="600" t="str">
        <f t="shared" si="103"/>
        <v>J53</v>
      </c>
      <c r="GG27" s="1130">
        <v>0</v>
      </c>
      <c r="GH27" s="1131">
        <v>0</v>
      </c>
      <c r="GI27" s="1130"/>
      <c r="GJ27" s="1131"/>
      <c r="GK27" s="1638">
        <f t="shared" si="104"/>
        <v>829.5</v>
      </c>
      <c r="GL27" s="1636">
        <f t="shared" si="105"/>
        <v>829.5</v>
      </c>
      <c r="GM27" s="1637">
        <f>IF(ABS(GK27-GL27)&gt;='Job Info.'!$L$22,ABS(GK27-GL27),0)</f>
        <v>0</v>
      </c>
      <c r="HA27" s="1269" t="s">
        <v>1483</v>
      </c>
      <c r="HB27" s="1270">
        <v>50</v>
      </c>
      <c r="HC27" s="1270" t="s">
        <v>1593</v>
      </c>
      <c r="HD27" s="1271">
        <v>69</v>
      </c>
      <c r="HE27" s="1272">
        <v>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v>
      </c>
      <c r="HX27" s="1272">
        <v>4</v>
      </c>
      <c r="HY27" s="1272" t="s">
        <v>116</v>
      </c>
      <c r="HZ27" s="1272" t="s">
        <v>116</v>
      </c>
      <c r="IA27" s="1272" t="s">
        <v>1653</v>
      </c>
      <c r="IB27" s="1272"/>
      <c r="IC27" s="1272"/>
      <c r="ID27" s="1272"/>
      <c r="IE27" s="1272"/>
      <c r="IF27" s="1274"/>
    </row>
    <row r="28" spans="1:240" ht="12.6" customHeight="1" x14ac:dyDescent="0.25">
      <c r="A28" s="1448" t="s">
        <v>1484</v>
      </c>
      <c r="B28" s="1681">
        <v>6</v>
      </c>
      <c r="C28" s="1449" t="s">
        <v>1593</v>
      </c>
      <c r="D28" s="1705">
        <v>69</v>
      </c>
      <c r="E28" s="1706">
        <v>1.5</v>
      </c>
      <c r="F28" s="1714" t="str">
        <f t="shared" si="1"/>
        <v/>
      </c>
      <c r="G28" s="1709" t="str">
        <f t="shared" si="2"/>
        <v/>
      </c>
      <c r="H28" s="1779" t="str">
        <f t="shared" si="3"/>
        <v/>
      </c>
      <c r="I28" s="1705" t="str">
        <f t="shared" si="4"/>
        <v/>
      </c>
      <c r="J28" s="1709" t="str">
        <f t="shared" si="5"/>
        <v/>
      </c>
      <c r="K28" s="1796" t="str">
        <f t="shared" si="6"/>
        <v/>
      </c>
      <c r="L28" s="1712">
        <v>5</v>
      </c>
      <c r="M28" s="1713">
        <v>5</v>
      </c>
      <c r="N28" s="1708">
        <v>0</v>
      </c>
      <c r="O28" s="1709">
        <v>6.75</v>
      </c>
      <c r="P28" s="1710">
        <v>2</v>
      </c>
      <c r="Q28" s="1705" t="str">
        <f t="shared" si="10"/>
        <v/>
      </c>
      <c r="R28" s="1709" t="str">
        <f t="shared" si="11"/>
        <v/>
      </c>
      <c r="S28" s="1711" t="str">
        <f t="shared" si="12"/>
        <v/>
      </c>
      <c r="T28" s="1714">
        <v>0</v>
      </c>
      <c r="U28" s="1709">
        <v>2.25</v>
      </c>
      <c r="V28" s="1705">
        <v>0</v>
      </c>
      <c r="W28" s="1709">
        <v>2</v>
      </c>
      <c r="X28" s="1713">
        <v>4</v>
      </c>
      <c r="Y28" s="1781" t="str">
        <f t="shared" si="13"/>
        <v/>
      </c>
      <c r="Z28" s="1782" t="str">
        <f t="shared" si="14"/>
        <v/>
      </c>
      <c r="AA28" s="1783" t="s">
        <v>1758</v>
      </c>
      <c r="AB28" s="1413"/>
      <c r="AC28" s="964" t="b">
        <v>0</v>
      </c>
      <c r="AD28" s="441">
        <f t="shared" si="15"/>
        <v>0</v>
      </c>
      <c r="AE28" s="442">
        <f t="shared" si="16"/>
        <v>6</v>
      </c>
      <c r="AF28" s="442">
        <f t="shared" si="17"/>
        <v>0</v>
      </c>
      <c r="AG28" s="442">
        <f t="shared" si="18"/>
        <v>0</v>
      </c>
      <c r="AH28" s="443">
        <f t="shared" si="19"/>
        <v>0</v>
      </c>
      <c r="AI28" s="444" t="b">
        <v>0</v>
      </c>
      <c r="AJ28" s="238">
        <f t="shared" si="20"/>
        <v>44</v>
      </c>
      <c r="AK28" s="830" t="str">
        <f t="shared" si="21"/>
        <v>LH</v>
      </c>
      <c r="AL28" s="945" t="str">
        <f t="shared" si="22"/>
        <v/>
      </c>
      <c r="AM28" s="830">
        <f t="shared" si="23"/>
        <v>305</v>
      </c>
      <c r="AN28" s="830">
        <f t="shared" si="24"/>
        <v>180</v>
      </c>
      <c r="AO28" s="830" t="str">
        <f t="shared" si="25"/>
        <v/>
      </c>
      <c r="AP28" s="830" t="b">
        <f>IF(ISERROR(AJ28),FALSE,IF(OR(AJ28=0,ISERROR(AL28),ISERROR(AM28),ISERROR(AN28),ISERROR(AO28)),FALSE,IF(AL28&lt;&gt;"",IF(ISERROR(VLOOKUP(SUBSTITUTE(SUBSTITUTE(C28,"R",""),"A",""),TblJoistSize!$A:$A,1,FALSE)),FALSE,TRUE),TRUE)))</f>
        <v>1</v>
      </c>
      <c r="AQ28" s="1038">
        <f t="shared" si="26"/>
        <v>6</v>
      </c>
      <c r="AR28" s="945" t="b">
        <f t="shared" si="27"/>
        <v>1</v>
      </c>
      <c r="AS28" s="1038">
        <f t="shared" si="28"/>
        <v>6</v>
      </c>
      <c r="AT28" s="945" t="b">
        <f t="shared" si="29"/>
        <v>1</v>
      </c>
      <c r="AU28" s="946" t="str">
        <f t="shared" si="30"/>
        <v>LH</v>
      </c>
      <c r="AV28" s="830" t="str">
        <f t="shared" si="31"/>
        <v/>
      </c>
      <c r="AW28" s="830" t="str">
        <f t="shared" si="32"/>
        <v>LH</v>
      </c>
      <c r="AX28" s="830" t="str">
        <f t="shared" si="106"/>
        <v>TJ54</v>
      </c>
      <c r="AY28" s="1039" t="b">
        <f t="shared" si="33"/>
        <v>0</v>
      </c>
      <c r="AZ28" s="856" t="b">
        <f t="shared" si="34"/>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f t="shared" si="47"/>
        <v>5</v>
      </c>
      <c r="CS28" s="751">
        <f t="shared" si="48"/>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str">
        <f t="shared" si="70"/>
        <v>ERR</v>
      </c>
      <c r="EI28" s="856" t="str">
        <f t="shared" si="71"/>
        <v>ERR</v>
      </c>
      <c r="EJ28" s="822" t="str">
        <f t="shared" si="72"/>
        <v/>
      </c>
      <c r="EK28" s="822" t="str">
        <f t="shared" si="72"/>
        <v/>
      </c>
      <c r="EL28" s="1293" t="str">
        <f t="shared" si="73"/>
        <v/>
      </c>
      <c r="EM28" s="822" t="str">
        <f t="shared" si="74"/>
        <v/>
      </c>
      <c r="EN28" s="822" t="str">
        <f t="shared" si="75"/>
        <v/>
      </c>
      <c r="EO28" s="856" t="str">
        <f t="shared" si="76"/>
        <v>ERR</v>
      </c>
      <c r="EP28" s="856" t="str">
        <f t="shared" si="77"/>
        <v>ERR</v>
      </c>
      <c r="EQ28" s="1293" t="str">
        <f t="shared" si="78"/>
        <v/>
      </c>
      <c r="ER28" s="822" t="str">
        <f t="shared" si="78"/>
        <v/>
      </c>
      <c r="ES28" s="822" t="str">
        <f t="shared" si="79"/>
        <v/>
      </c>
      <c r="ET28" s="822" t="str">
        <f t="shared" si="80"/>
        <v/>
      </c>
      <c r="EU28" s="829">
        <f t="shared" si="81"/>
        <v>4</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v>69</v>
      </c>
      <c r="GB28" s="1792">
        <v>2.25</v>
      </c>
      <c r="GC28" s="1793">
        <v>-0.25</v>
      </c>
      <c r="GD28" s="1794">
        <v>-0.5</v>
      </c>
      <c r="GE28" s="1795">
        <f t="shared" si="102"/>
        <v>0</v>
      </c>
      <c r="GF28" s="600" t="str">
        <f t="shared" si="103"/>
        <v>TJ54</v>
      </c>
      <c r="GG28" s="1130">
        <v>0</v>
      </c>
      <c r="GH28" s="1131">
        <v>0</v>
      </c>
      <c r="GI28" s="1130"/>
      <c r="GJ28" s="1131"/>
      <c r="GK28" s="1638">
        <f t="shared" si="104"/>
        <v>829.5</v>
      </c>
      <c r="GL28" s="1636">
        <f t="shared" si="105"/>
        <v>829.5</v>
      </c>
      <c r="GM28" s="1637">
        <f>IF(ABS(GK28-GL28)&gt;='Job Info.'!$L$22,ABS(GK28-GL28),0)</f>
        <v>0</v>
      </c>
      <c r="HA28" s="1269" t="s">
        <v>1484</v>
      </c>
      <c r="HB28" s="1270">
        <v>6</v>
      </c>
      <c r="HC28" s="1270" t="s">
        <v>1593</v>
      </c>
      <c r="HD28" s="1271">
        <v>69</v>
      </c>
      <c r="HE28" s="1272">
        <v>1.5</v>
      </c>
      <c r="HF28" s="1270" t="s">
        <v>116</v>
      </c>
      <c r="HG28" s="1270" t="s">
        <v>116</v>
      </c>
      <c r="HH28" s="1270" t="s">
        <v>116</v>
      </c>
      <c r="HI28" s="1273" t="s">
        <v>116</v>
      </c>
      <c r="HJ28" s="1270" t="s">
        <v>116</v>
      </c>
      <c r="HK28" s="1270" t="s">
        <v>116</v>
      </c>
      <c r="HL28" s="1270">
        <v>5</v>
      </c>
      <c r="HM28" s="1270">
        <v>5</v>
      </c>
      <c r="HN28" s="1270">
        <v>0</v>
      </c>
      <c r="HO28" s="1270">
        <v>6.75</v>
      </c>
      <c r="HP28" s="1270">
        <v>2</v>
      </c>
      <c r="HQ28" s="1273" t="s">
        <v>116</v>
      </c>
      <c r="HR28" s="1270" t="s">
        <v>116</v>
      </c>
      <c r="HS28" s="1270" t="s">
        <v>116</v>
      </c>
      <c r="HT28" s="1270">
        <v>0</v>
      </c>
      <c r="HU28" s="1270">
        <v>2.25</v>
      </c>
      <c r="HV28" s="1270">
        <v>0</v>
      </c>
      <c r="HW28" s="1272">
        <v>2</v>
      </c>
      <c r="HX28" s="1272">
        <v>4</v>
      </c>
      <c r="HY28" s="1272" t="s">
        <v>116</v>
      </c>
      <c r="HZ28" s="1272" t="s">
        <v>116</v>
      </c>
      <c r="IA28" s="1272" t="s">
        <v>1653</v>
      </c>
      <c r="IB28" s="1272"/>
      <c r="IC28" s="1272"/>
      <c r="ID28" s="1272"/>
      <c r="IE28" s="1272"/>
      <c r="IF28" s="1274"/>
    </row>
    <row r="29" spans="1:240" ht="12.6" customHeight="1" x14ac:dyDescent="0.25">
      <c r="A29" s="1448" t="s">
        <v>1485</v>
      </c>
      <c r="B29" s="1681">
        <v>7</v>
      </c>
      <c r="C29" s="1449" t="s">
        <v>1593</v>
      </c>
      <c r="D29" s="1705">
        <v>69</v>
      </c>
      <c r="E29" s="1706">
        <v>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7"/>
        <v/>
      </c>
      <c r="O29" s="1709" t="str">
        <f t="shared" si="8"/>
        <v/>
      </c>
      <c r="P29" s="1710" t="str">
        <f t="shared" si="9"/>
        <v/>
      </c>
      <c r="Q29" s="1705" t="str">
        <f t="shared" si="10"/>
        <v/>
      </c>
      <c r="R29" s="1709" t="str">
        <f t="shared" si="11"/>
        <v/>
      </c>
      <c r="S29" s="1711" t="str">
        <f t="shared" si="12"/>
        <v/>
      </c>
      <c r="T29" s="1714">
        <v>0</v>
      </c>
      <c r="U29" s="1709">
        <v>2.25</v>
      </c>
      <c r="V29" s="1705">
        <v>0</v>
      </c>
      <c r="W29" s="1709">
        <v>2</v>
      </c>
      <c r="X29" s="1713">
        <v>4</v>
      </c>
      <c r="Y29" s="1781" t="str">
        <f t="shared" si="13"/>
        <v/>
      </c>
      <c r="Z29" s="1782" t="str">
        <f t="shared" si="14"/>
        <v/>
      </c>
      <c r="AA29" s="1783" t="s">
        <v>1759</v>
      </c>
      <c r="AB29" s="1413"/>
      <c r="AC29" s="964" t="b">
        <v>0</v>
      </c>
      <c r="AD29" s="441">
        <f t="shared" si="15"/>
        <v>0</v>
      </c>
      <c r="AE29" s="442">
        <f t="shared" si="16"/>
        <v>7</v>
      </c>
      <c r="AF29" s="442">
        <f t="shared" si="17"/>
        <v>0</v>
      </c>
      <c r="AG29" s="442">
        <f t="shared" si="18"/>
        <v>0</v>
      </c>
      <c r="AH29" s="443">
        <f t="shared" si="19"/>
        <v>0</v>
      </c>
      <c r="AI29" s="444" t="b">
        <v>0</v>
      </c>
      <c r="AJ29" s="238">
        <f t="shared" si="20"/>
        <v>44</v>
      </c>
      <c r="AK29" s="830" t="str">
        <f t="shared" si="21"/>
        <v>LH</v>
      </c>
      <c r="AL29" s="945" t="str">
        <f t="shared" si="22"/>
        <v/>
      </c>
      <c r="AM29" s="830">
        <f t="shared" si="23"/>
        <v>305</v>
      </c>
      <c r="AN29" s="830">
        <f t="shared" si="24"/>
        <v>180</v>
      </c>
      <c r="AO29" s="830" t="str">
        <f t="shared" si="25"/>
        <v/>
      </c>
      <c r="AP29" s="830" t="b">
        <f>IF(ISERROR(AJ29),FALSE,IF(OR(AJ29=0,ISERROR(AL29),ISERROR(AM29),ISERROR(AN29),ISERROR(AO29)),FALSE,IF(AL29&lt;&gt;"",IF(ISERROR(VLOOKUP(SUBSTITUTE(SUBSTITUTE(C29,"R",""),"A",""),TblJoistSize!$A:$A,1,FALSE)),FALSE,TRUE),TRUE)))</f>
        <v>1</v>
      </c>
      <c r="AQ29" s="1038">
        <f t="shared" si="26"/>
        <v>6</v>
      </c>
      <c r="AR29" s="945" t="b">
        <f t="shared" si="27"/>
        <v>1</v>
      </c>
      <c r="AS29" s="1038">
        <f t="shared" si="28"/>
        <v>6</v>
      </c>
      <c r="AT29" s="945" t="b">
        <f t="shared" si="29"/>
        <v>1</v>
      </c>
      <c r="AU29" s="946" t="str">
        <f t="shared" si="30"/>
        <v>LH</v>
      </c>
      <c r="AV29" s="830" t="str">
        <f t="shared" si="31"/>
        <v/>
      </c>
      <c r="AW29" s="830" t="str">
        <f t="shared" si="32"/>
        <v>LH</v>
      </c>
      <c r="AX29" s="830" t="str">
        <f t="shared" si="106"/>
        <v>J55</v>
      </c>
      <c r="AY29" s="1039" t="b">
        <f t="shared" si="33"/>
        <v>0</v>
      </c>
      <c r="AZ29" s="856" t="b">
        <f t="shared" si="34"/>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f t="shared" si="47"/>
        <v>5</v>
      </c>
      <c r="CS29" s="751">
        <f t="shared" si="48"/>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str">
        <f t="shared" si="70"/>
        <v>ERR</v>
      </c>
      <c r="EI29" s="856" t="str">
        <f t="shared" si="71"/>
        <v>ERR</v>
      </c>
      <c r="EJ29" s="822" t="str">
        <f t="shared" si="72"/>
        <v/>
      </c>
      <c r="EK29" s="822" t="str">
        <f t="shared" si="72"/>
        <v/>
      </c>
      <c r="EL29" s="1293" t="str">
        <f t="shared" si="73"/>
        <v/>
      </c>
      <c r="EM29" s="822" t="str">
        <f t="shared" si="74"/>
        <v/>
      </c>
      <c r="EN29" s="822" t="str">
        <f t="shared" si="75"/>
        <v/>
      </c>
      <c r="EO29" s="856" t="str">
        <f t="shared" si="76"/>
        <v>ERR</v>
      </c>
      <c r="EP29" s="856" t="str">
        <f t="shared" si="77"/>
        <v>ERR</v>
      </c>
      <c r="EQ29" s="1293" t="str">
        <f t="shared" si="78"/>
        <v/>
      </c>
      <c r="ER29" s="822" t="str">
        <f t="shared" si="78"/>
        <v/>
      </c>
      <c r="ES29" s="822" t="str">
        <f t="shared" si="79"/>
        <v/>
      </c>
      <c r="ET29" s="822" t="str">
        <f t="shared" si="80"/>
        <v/>
      </c>
      <c r="EU29" s="829">
        <f t="shared" si="81"/>
        <v>4</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v>69</v>
      </c>
      <c r="GB29" s="1792">
        <v>2.25</v>
      </c>
      <c r="GC29" s="1793">
        <v>-0.25</v>
      </c>
      <c r="GD29" s="1794">
        <v>-0.5</v>
      </c>
      <c r="GE29" s="1795">
        <f t="shared" si="102"/>
        <v>0</v>
      </c>
      <c r="GF29" s="600" t="str">
        <f t="shared" si="103"/>
        <v>J55</v>
      </c>
      <c r="GG29" s="1130">
        <v>0</v>
      </c>
      <c r="GH29" s="1131">
        <v>0</v>
      </c>
      <c r="GI29" s="1130"/>
      <c r="GJ29" s="1131"/>
      <c r="GK29" s="1638">
        <f t="shared" si="104"/>
        <v>829.5</v>
      </c>
      <c r="GL29" s="1636">
        <f t="shared" si="105"/>
        <v>829.5</v>
      </c>
      <c r="GM29" s="1637">
        <f>IF(ABS(GK29-GL29)&gt;='Job Info.'!$L$22,ABS(GK29-GL29),0)</f>
        <v>0</v>
      </c>
      <c r="HA29" s="1269" t="s">
        <v>1485</v>
      </c>
      <c r="HB29" s="1270">
        <v>7</v>
      </c>
      <c r="HC29" s="1270" t="s">
        <v>1593</v>
      </c>
      <c r="HD29" s="1271">
        <v>69</v>
      </c>
      <c r="HE29" s="1272">
        <v>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v>
      </c>
      <c r="HX29" s="1272">
        <v>4</v>
      </c>
      <c r="HY29" s="1272" t="s">
        <v>116</v>
      </c>
      <c r="HZ29" s="1272" t="s">
        <v>116</v>
      </c>
      <c r="IA29" s="1272" t="s">
        <v>1654</v>
      </c>
      <c r="IB29" s="1272"/>
      <c r="IC29" s="1272"/>
      <c r="ID29" s="1272"/>
      <c r="IE29" s="1272"/>
      <c r="IF29" s="1274"/>
    </row>
    <row r="30" spans="1:240" ht="12.6" customHeight="1" x14ac:dyDescent="0.25">
      <c r="A30" s="1448" t="s">
        <v>1486</v>
      </c>
      <c r="B30" s="1681">
        <v>7</v>
      </c>
      <c r="C30" s="1449" t="s">
        <v>1593</v>
      </c>
      <c r="D30" s="1705">
        <v>69</v>
      </c>
      <c r="E30" s="1706">
        <v>1.5</v>
      </c>
      <c r="F30" s="1714" t="str">
        <f t="shared" si="1"/>
        <v/>
      </c>
      <c r="G30" s="1709" t="str">
        <f t="shared" si="2"/>
        <v/>
      </c>
      <c r="H30" s="1779" t="str">
        <f t="shared" si="3"/>
        <v/>
      </c>
      <c r="I30" s="1705" t="str">
        <f t="shared" si="4"/>
        <v/>
      </c>
      <c r="J30" s="1709" t="str">
        <f t="shared" si="5"/>
        <v/>
      </c>
      <c r="K30" s="1796" t="str">
        <f t="shared" si="6"/>
        <v/>
      </c>
      <c r="L30" s="1712">
        <v>5</v>
      </c>
      <c r="M30" s="1713">
        <v>5</v>
      </c>
      <c r="N30" s="1708" t="str">
        <f t="shared" si="7"/>
        <v/>
      </c>
      <c r="O30" s="1709" t="str">
        <f t="shared" si="8"/>
        <v/>
      </c>
      <c r="P30" s="1710" t="str">
        <f t="shared" si="9"/>
        <v/>
      </c>
      <c r="Q30" s="1705" t="str">
        <f t="shared" si="10"/>
        <v/>
      </c>
      <c r="R30" s="1709" t="str">
        <f t="shared" si="11"/>
        <v/>
      </c>
      <c r="S30" s="1711" t="str">
        <f t="shared" si="12"/>
        <v/>
      </c>
      <c r="T30" s="1714">
        <v>0</v>
      </c>
      <c r="U30" s="1709">
        <v>2.25</v>
      </c>
      <c r="V30" s="1705">
        <v>0</v>
      </c>
      <c r="W30" s="1709">
        <v>2</v>
      </c>
      <c r="X30" s="1713">
        <v>4</v>
      </c>
      <c r="Y30" s="1781" t="str">
        <f t="shared" si="13"/>
        <v/>
      </c>
      <c r="Z30" s="1782" t="str">
        <f t="shared" si="14"/>
        <v/>
      </c>
      <c r="AA30" s="1783" t="s">
        <v>1760</v>
      </c>
      <c r="AB30" s="1413"/>
      <c r="AC30" s="964" t="b">
        <v>0</v>
      </c>
      <c r="AD30" s="441">
        <f t="shared" si="15"/>
        <v>0</v>
      </c>
      <c r="AE30" s="442">
        <f t="shared" si="16"/>
        <v>7</v>
      </c>
      <c r="AF30" s="442">
        <f t="shared" si="17"/>
        <v>0</v>
      </c>
      <c r="AG30" s="442">
        <f t="shared" si="18"/>
        <v>0</v>
      </c>
      <c r="AH30" s="443">
        <f t="shared" si="19"/>
        <v>0</v>
      </c>
      <c r="AI30" s="444" t="b">
        <v>0</v>
      </c>
      <c r="AJ30" s="238">
        <f t="shared" si="20"/>
        <v>44</v>
      </c>
      <c r="AK30" s="830" t="str">
        <f t="shared" si="21"/>
        <v>LH</v>
      </c>
      <c r="AL30" s="945" t="str">
        <f t="shared" si="22"/>
        <v/>
      </c>
      <c r="AM30" s="830">
        <f t="shared" si="23"/>
        <v>305</v>
      </c>
      <c r="AN30" s="830">
        <f t="shared" si="24"/>
        <v>180</v>
      </c>
      <c r="AO30" s="830" t="str">
        <f t="shared" si="25"/>
        <v/>
      </c>
      <c r="AP30" s="830" t="b">
        <f>IF(ISERROR(AJ30),FALSE,IF(OR(AJ30=0,ISERROR(AL30),ISERROR(AM30),ISERROR(AN30),ISERROR(AO30)),FALSE,IF(AL30&lt;&gt;"",IF(ISERROR(VLOOKUP(SUBSTITUTE(SUBSTITUTE(C30,"R",""),"A",""),TblJoistSize!$A:$A,1,FALSE)),FALSE,TRUE),TRUE)))</f>
        <v>1</v>
      </c>
      <c r="AQ30" s="1038">
        <f t="shared" si="26"/>
        <v>6</v>
      </c>
      <c r="AR30" s="945" t="b">
        <f t="shared" si="27"/>
        <v>1</v>
      </c>
      <c r="AS30" s="1038">
        <f t="shared" si="28"/>
        <v>6</v>
      </c>
      <c r="AT30" s="945" t="b">
        <f t="shared" si="29"/>
        <v>1</v>
      </c>
      <c r="AU30" s="946" t="str">
        <f t="shared" si="30"/>
        <v>LH</v>
      </c>
      <c r="AV30" s="830" t="str">
        <f t="shared" si="31"/>
        <v/>
      </c>
      <c r="AW30" s="830" t="str">
        <f t="shared" si="32"/>
        <v>LH</v>
      </c>
      <c r="AX30" s="830" t="str">
        <f t="shared" si="106"/>
        <v>J56</v>
      </c>
      <c r="AY30" s="1039" t="b">
        <f t="shared" si="33"/>
        <v>0</v>
      </c>
      <c r="AZ30" s="856" t="b">
        <f t="shared" si="34"/>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f t="shared" si="47"/>
        <v>5</v>
      </c>
      <c r="CS30" s="751">
        <f t="shared" si="48"/>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str">
        <f t="shared" si="70"/>
        <v>ERR</v>
      </c>
      <c r="EI30" s="856" t="str">
        <f t="shared" si="71"/>
        <v>ERR</v>
      </c>
      <c r="EJ30" s="822" t="str">
        <f t="shared" si="72"/>
        <v/>
      </c>
      <c r="EK30" s="822" t="str">
        <f t="shared" si="72"/>
        <v/>
      </c>
      <c r="EL30" s="1293" t="str">
        <f t="shared" si="73"/>
        <v/>
      </c>
      <c r="EM30" s="822" t="str">
        <f t="shared" si="74"/>
        <v/>
      </c>
      <c r="EN30" s="822" t="str">
        <f t="shared" si="75"/>
        <v/>
      </c>
      <c r="EO30" s="856" t="str">
        <f t="shared" si="76"/>
        <v>ERR</v>
      </c>
      <c r="EP30" s="856" t="str">
        <f t="shared" si="77"/>
        <v>ERR</v>
      </c>
      <c r="EQ30" s="1293" t="str">
        <f t="shared" si="78"/>
        <v/>
      </c>
      <c r="ER30" s="822" t="str">
        <f t="shared" si="78"/>
        <v/>
      </c>
      <c r="ES30" s="822" t="str">
        <f t="shared" si="79"/>
        <v/>
      </c>
      <c r="ET30" s="822" t="str">
        <f t="shared" si="80"/>
        <v/>
      </c>
      <c r="EU30" s="829">
        <f t="shared" si="81"/>
        <v>4</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v>69</v>
      </c>
      <c r="GB30" s="1792">
        <v>2.25</v>
      </c>
      <c r="GC30" s="1793">
        <v>-0.25</v>
      </c>
      <c r="GD30" s="1794">
        <v>-0.5</v>
      </c>
      <c r="GE30" s="1795">
        <f t="shared" si="102"/>
        <v>0</v>
      </c>
      <c r="GF30" s="600" t="str">
        <f t="shared" si="103"/>
        <v>J56</v>
      </c>
      <c r="GG30" s="1130">
        <v>0</v>
      </c>
      <c r="GH30" s="1131">
        <v>0</v>
      </c>
      <c r="GI30" s="1130"/>
      <c r="GJ30" s="1131"/>
      <c r="GK30" s="1638">
        <f t="shared" si="104"/>
        <v>829.5</v>
      </c>
      <c r="GL30" s="1636">
        <f t="shared" si="105"/>
        <v>829.5</v>
      </c>
      <c r="GM30" s="1637">
        <f>IF(ABS(GK30-GL30)&gt;='Job Info.'!$L$22,ABS(GK30-GL30),0)</f>
        <v>0</v>
      </c>
      <c r="HA30" s="1269" t="s">
        <v>1486</v>
      </c>
      <c r="HB30" s="1270">
        <v>7</v>
      </c>
      <c r="HC30" s="1270" t="s">
        <v>1593</v>
      </c>
      <c r="HD30" s="1271">
        <v>69</v>
      </c>
      <c r="HE30" s="1272">
        <v>1.5</v>
      </c>
      <c r="HF30" s="1270" t="s">
        <v>116</v>
      </c>
      <c r="HG30" s="1270" t="s">
        <v>116</v>
      </c>
      <c r="HH30" s="1270" t="s">
        <v>116</v>
      </c>
      <c r="HI30" s="1273" t="s">
        <v>116</v>
      </c>
      <c r="HJ30" s="1270" t="s">
        <v>116</v>
      </c>
      <c r="HK30" s="1270" t="s">
        <v>116</v>
      </c>
      <c r="HL30" s="1270">
        <v>5</v>
      </c>
      <c r="HM30" s="1270">
        <v>5</v>
      </c>
      <c r="HN30" s="1270" t="s">
        <v>116</v>
      </c>
      <c r="HO30" s="1270" t="s">
        <v>116</v>
      </c>
      <c r="HP30" s="1270" t="s">
        <v>116</v>
      </c>
      <c r="HQ30" s="1273" t="s">
        <v>116</v>
      </c>
      <c r="HR30" s="1270" t="s">
        <v>116</v>
      </c>
      <c r="HS30" s="1270" t="s">
        <v>116</v>
      </c>
      <c r="HT30" s="1270">
        <v>0</v>
      </c>
      <c r="HU30" s="1270">
        <v>2.25</v>
      </c>
      <c r="HV30" s="1270">
        <v>0</v>
      </c>
      <c r="HW30" s="1272">
        <v>2</v>
      </c>
      <c r="HX30" s="1272">
        <v>4</v>
      </c>
      <c r="HY30" s="1272" t="s">
        <v>116</v>
      </c>
      <c r="HZ30" s="1272" t="s">
        <v>116</v>
      </c>
      <c r="IA30" s="1272" t="s">
        <v>1655</v>
      </c>
      <c r="IB30" s="1272"/>
      <c r="IC30" s="1272"/>
      <c r="ID30" s="1272"/>
      <c r="IE30" s="1272"/>
      <c r="IF30" s="1274"/>
    </row>
    <row r="31" spans="1:240" ht="12.6" customHeight="1" x14ac:dyDescent="0.25">
      <c r="A31" s="1448" t="s">
        <v>1487</v>
      </c>
      <c r="B31" s="1681">
        <v>2</v>
      </c>
      <c r="C31" s="1449" t="s">
        <v>1593</v>
      </c>
      <c r="D31" s="1705">
        <v>69</v>
      </c>
      <c r="E31" s="1706">
        <v>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7"/>
        <v/>
      </c>
      <c r="O31" s="1709" t="str">
        <f t="shared" si="8"/>
        <v/>
      </c>
      <c r="P31" s="1710" t="str">
        <f t="shared" si="9"/>
        <v/>
      </c>
      <c r="Q31" s="1705" t="str">
        <f t="shared" si="10"/>
        <v/>
      </c>
      <c r="R31" s="1709" t="str">
        <f t="shared" si="11"/>
        <v/>
      </c>
      <c r="S31" s="1711" t="str">
        <f t="shared" si="12"/>
        <v/>
      </c>
      <c r="T31" s="1714">
        <v>0</v>
      </c>
      <c r="U31" s="1709">
        <v>2.25</v>
      </c>
      <c r="V31" s="1705">
        <v>0</v>
      </c>
      <c r="W31" s="1709">
        <v>2</v>
      </c>
      <c r="X31" s="1713">
        <v>4</v>
      </c>
      <c r="Y31" s="1781" t="str">
        <f t="shared" si="13"/>
        <v/>
      </c>
      <c r="Z31" s="1782" t="str">
        <f t="shared" si="14"/>
        <v/>
      </c>
      <c r="AA31" s="1783" t="s">
        <v>1761</v>
      </c>
      <c r="AB31" s="1413"/>
      <c r="AC31" s="964" t="b">
        <v>0</v>
      </c>
      <c r="AD31" s="441">
        <f t="shared" si="15"/>
        <v>0</v>
      </c>
      <c r="AE31" s="442">
        <f t="shared" si="16"/>
        <v>2</v>
      </c>
      <c r="AF31" s="442">
        <f t="shared" si="17"/>
        <v>0</v>
      </c>
      <c r="AG31" s="442">
        <f t="shared" si="18"/>
        <v>0</v>
      </c>
      <c r="AH31" s="443">
        <f t="shared" si="19"/>
        <v>0</v>
      </c>
      <c r="AI31" s="444" t="b">
        <v>0</v>
      </c>
      <c r="AJ31" s="238">
        <f t="shared" si="20"/>
        <v>44</v>
      </c>
      <c r="AK31" s="830" t="str">
        <f t="shared" si="21"/>
        <v>LH</v>
      </c>
      <c r="AL31" s="945" t="str">
        <f t="shared" si="22"/>
        <v/>
      </c>
      <c r="AM31" s="830">
        <f t="shared" si="23"/>
        <v>305</v>
      </c>
      <c r="AN31" s="830">
        <f t="shared" si="24"/>
        <v>180</v>
      </c>
      <c r="AO31" s="830" t="str">
        <f t="shared" si="25"/>
        <v/>
      </c>
      <c r="AP31" s="830" t="b">
        <f>IF(ISERROR(AJ31),FALSE,IF(OR(AJ31=0,ISERROR(AL31),ISERROR(AM31),ISERROR(AN31),ISERROR(AO31)),FALSE,IF(AL31&lt;&gt;"",IF(ISERROR(VLOOKUP(SUBSTITUTE(SUBSTITUTE(C31,"R",""),"A",""),TblJoistSize!$A:$A,1,FALSE)),FALSE,TRUE),TRUE)))</f>
        <v>1</v>
      </c>
      <c r="AQ31" s="1038">
        <f t="shared" si="26"/>
        <v>6</v>
      </c>
      <c r="AR31" s="945" t="b">
        <f t="shared" si="27"/>
        <v>1</v>
      </c>
      <c r="AS31" s="1038">
        <f t="shared" si="28"/>
        <v>6</v>
      </c>
      <c r="AT31" s="945" t="b">
        <f t="shared" si="29"/>
        <v>1</v>
      </c>
      <c r="AU31" s="946" t="str">
        <f t="shared" si="30"/>
        <v>LH</v>
      </c>
      <c r="AV31" s="830" t="str">
        <f t="shared" si="31"/>
        <v/>
      </c>
      <c r="AW31" s="830" t="str">
        <f t="shared" si="32"/>
        <v>LH</v>
      </c>
      <c r="AX31" s="830" t="str">
        <f t="shared" si="106"/>
        <v>J57</v>
      </c>
      <c r="AY31" s="1039" t="b">
        <f t="shared" si="33"/>
        <v>0</v>
      </c>
      <c r="AZ31" s="856" t="b">
        <f t="shared" si="34"/>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f t="shared" si="47"/>
        <v>5</v>
      </c>
      <c r="CS31" s="751">
        <f t="shared" si="48"/>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str">
        <f t="shared" si="70"/>
        <v>ERR</v>
      </c>
      <c r="EI31" s="856" t="str">
        <f t="shared" si="71"/>
        <v>ERR</v>
      </c>
      <c r="EJ31" s="822" t="str">
        <f t="shared" si="72"/>
        <v/>
      </c>
      <c r="EK31" s="822" t="str">
        <f t="shared" si="72"/>
        <v/>
      </c>
      <c r="EL31" s="1293" t="str">
        <f t="shared" si="73"/>
        <v/>
      </c>
      <c r="EM31" s="822" t="str">
        <f t="shared" si="74"/>
        <v/>
      </c>
      <c r="EN31" s="822" t="str">
        <f t="shared" si="75"/>
        <v/>
      </c>
      <c r="EO31" s="856" t="str">
        <f t="shared" si="76"/>
        <v>ERR</v>
      </c>
      <c r="EP31" s="856" t="str">
        <f t="shared" si="77"/>
        <v>ERR</v>
      </c>
      <c r="EQ31" s="1293" t="str">
        <f t="shared" si="78"/>
        <v/>
      </c>
      <c r="ER31" s="822" t="str">
        <f t="shared" si="78"/>
        <v/>
      </c>
      <c r="ES31" s="822" t="str">
        <f t="shared" si="79"/>
        <v/>
      </c>
      <c r="ET31" s="822" t="str">
        <f t="shared" si="80"/>
        <v/>
      </c>
      <c r="EU31" s="829">
        <f t="shared" si="81"/>
        <v>4</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v>69</v>
      </c>
      <c r="GB31" s="1792">
        <v>2.25</v>
      </c>
      <c r="GC31" s="1793">
        <v>-0.25</v>
      </c>
      <c r="GD31" s="1794">
        <v>-0.5</v>
      </c>
      <c r="GE31" s="1795">
        <f t="shared" si="102"/>
        <v>0</v>
      </c>
      <c r="GF31" s="600" t="str">
        <f t="shared" si="103"/>
        <v>J57</v>
      </c>
      <c r="GG31" s="1130">
        <v>0</v>
      </c>
      <c r="GH31" s="1131">
        <v>0</v>
      </c>
      <c r="GI31" s="1130"/>
      <c r="GJ31" s="1131"/>
      <c r="GK31" s="1638">
        <f t="shared" si="104"/>
        <v>829.5</v>
      </c>
      <c r="GL31" s="1636">
        <f t="shared" si="105"/>
        <v>829.5</v>
      </c>
      <c r="GM31" s="1637">
        <f>IF(ABS(GK31-GL31)&gt;='Job Info.'!$L$22,ABS(GK31-GL31),0)</f>
        <v>0</v>
      </c>
      <c r="HA31" s="1269" t="s">
        <v>1487</v>
      </c>
      <c r="HB31" s="1270">
        <v>2</v>
      </c>
      <c r="HC31" s="1270" t="s">
        <v>1593</v>
      </c>
      <c r="HD31" s="1271">
        <v>69</v>
      </c>
      <c r="HE31" s="1272">
        <v>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v>
      </c>
      <c r="HX31" s="1272">
        <v>4</v>
      </c>
      <c r="HY31" s="1272" t="s">
        <v>116</v>
      </c>
      <c r="HZ31" s="1272" t="s">
        <v>116</v>
      </c>
      <c r="IA31" s="1272" t="s">
        <v>1680</v>
      </c>
      <c r="IB31" s="1272"/>
      <c r="IC31" s="1272"/>
      <c r="ID31" s="1272"/>
      <c r="IE31" s="1272"/>
      <c r="IF31" s="1274"/>
    </row>
    <row r="32" spans="1:240" ht="12.6" customHeight="1" x14ac:dyDescent="0.25">
      <c r="A32" s="1448" t="s">
        <v>1488</v>
      </c>
      <c r="B32" s="1681">
        <v>4</v>
      </c>
      <c r="C32" s="1449" t="s">
        <v>1593</v>
      </c>
      <c r="D32" s="1705">
        <v>69</v>
      </c>
      <c r="E32" s="1706">
        <v>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7"/>
        <v/>
      </c>
      <c r="O32" s="1709" t="str">
        <f t="shared" si="8"/>
        <v/>
      </c>
      <c r="P32" s="1710" t="str">
        <f t="shared" si="9"/>
        <v/>
      </c>
      <c r="Q32" s="1705" t="str">
        <f t="shared" si="10"/>
        <v/>
      </c>
      <c r="R32" s="1709" t="str">
        <f t="shared" si="11"/>
        <v/>
      </c>
      <c r="S32" s="1711" t="str">
        <f t="shared" si="12"/>
        <v/>
      </c>
      <c r="T32" s="1714">
        <v>0</v>
      </c>
      <c r="U32" s="1709">
        <v>2.25</v>
      </c>
      <c r="V32" s="1705">
        <v>0</v>
      </c>
      <c r="W32" s="1709">
        <v>2</v>
      </c>
      <c r="X32" s="1713">
        <v>4</v>
      </c>
      <c r="Y32" s="1781" t="str">
        <f t="shared" si="13"/>
        <v/>
      </c>
      <c r="Z32" s="1782" t="str">
        <f t="shared" si="14"/>
        <v/>
      </c>
      <c r="AA32" s="1783" t="s">
        <v>1762</v>
      </c>
      <c r="AB32" s="1413"/>
      <c r="AC32" s="964" t="b">
        <v>0</v>
      </c>
      <c r="AD32" s="441">
        <f t="shared" si="15"/>
        <v>0</v>
      </c>
      <c r="AE32" s="442">
        <f t="shared" si="16"/>
        <v>4</v>
      </c>
      <c r="AF32" s="442">
        <f t="shared" si="17"/>
        <v>0</v>
      </c>
      <c r="AG32" s="442">
        <f t="shared" si="18"/>
        <v>0</v>
      </c>
      <c r="AH32" s="443">
        <f t="shared" si="19"/>
        <v>0</v>
      </c>
      <c r="AI32" s="444" t="b">
        <v>0</v>
      </c>
      <c r="AJ32" s="238">
        <f t="shared" si="20"/>
        <v>44</v>
      </c>
      <c r="AK32" s="830" t="str">
        <f t="shared" si="21"/>
        <v>LH</v>
      </c>
      <c r="AL32" s="945" t="str">
        <f t="shared" si="22"/>
        <v/>
      </c>
      <c r="AM32" s="830">
        <f t="shared" si="23"/>
        <v>305</v>
      </c>
      <c r="AN32" s="830">
        <f t="shared" si="24"/>
        <v>180</v>
      </c>
      <c r="AO32" s="830" t="str">
        <f t="shared" si="25"/>
        <v/>
      </c>
      <c r="AP32" s="830" t="b">
        <f>IF(ISERROR(AJ32),FALSE,IF(OR(AJ32=0,ISERROR(AL32),ISERROR(AM32),ISERROR(AN32),ISERROR(AO32)),FALSE,IF(AL32&lt;&gt;"",IF(ISERROR(VLOOKUP(SUBSTITUTE(SUBSTITUTE(C32,"R",""),"A",""),TblJoistSize!$A:$A,1,FALSE)),FALSE,TRUE),TRUE)))</f>
        <v>1</v>
      </c>
      <c r="AQ32" s="1038">
        <f t="shared" si="26"/>
        <v>6</v>
      </c>
      <c r="AR32" s="945" t="b">
        <f t="shared" si="27"/>
        <v>1</v>
      </c>
      <c r="AS32" s="1038">
        <f t="shared" si="28"/>
        <v>6</v>
      </c>
      <c r="AT32" s="945" t="b">
        <f t="shared" si="29"/>
        <v>1</v>
      </c>
      <c r="AU32" s="946" t="str">
        <f t="shared" si="30"/>
        <v>LH</v>
      </c>
      <c r="AV32" s="830" t="str">
        <f t="shared" si="31"/>
        <v/>
      </c>
      <c r="AW32" s="830" t="str">
        <f t="shared" si="32"/>
        <v>LH</v>
      </c>
      <c r="AX32" s="830" t="str">
        <f t="shared" si="106"/>
        <v>J58</v>
      </c>
      <c r="AY32" s="1039" t="b">
        <f t="shared" si="33"/>
        <v>0</v>
      </c>
      <c r="AZ32" s="856" t="b">
        <f t="shared" si="34"/>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f t="shared" si="47"/>
        <v>5</v>
      </c>
      <c r="CS32" s="751">
        <f t="shared" si="48"/>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str">
        <f t="shared" si="70"/>
        <v>ERR</v>
      </c>
      <c r="EI32" s="856" t="str">
        <f t="shared" si="71"/>
        <v>ERR</v>
      </c>
      <c r="EJ32" s="822" t="str">
        <f t="shared" si="72"/>
        <v/>
      </c>
      <c r="EK32" s="822" t="str">
        <f t="shared" si="72"/>
        <v/>
      </c>
      <c r="EL32" s="1293" t="str">
        <f t="shared" si="73"/>
        <v/>
      </c>
      <c r="EM32" s="822" t="str">
        <f t="shared" si="74"/>
        <v/>
      </c>
      <c r="EN32" s="822" t="str">
        <f t="shared" si="75"/>
        <v/>
      </c>
      <c r="EO32" s="856" t="str">
        <f t="shared" si="76"/>
        <v>ERR</v>
      </c>
      <c r="EP32" s="856" t="str">
        <f t="shared" si="77"/>
        <v>ERR</v>
      </c>
      <c r="EQ32" s="1293" t="str">
        <f t="shared" si="78"/>
        <v/>
      </c>
      <c r="ER32" s="822" t="str">
        <f t="shared" si="78"/>
        <v/>
      </c>
      <c r="ES32" s="822" t="str">
        <f t="shared" si="79"/>
        <v/>
      </c>
      <c r="ET32" s="822" t="str">
        <f t="shared" si="80"/>
        <v/>
      </c>
      <c r="EU32" s="829">
        <f t="shared" si="81"/>
        <v>4</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v>69</v>
      </c>
      <c r="GB32" s="1792">
        <v>2.25</v>
      </c>
      <c r="GC32" s="1793">
        <v>-0.25</v>
      </c>
      <c r="GD32" s="1794">
        <v>-0.5</v>
      </c>
      <c r="GE32" s="1795">
        <f t="shared" si="102"/>
        <v>0</v>
      </c>
      <c r="GF32" s="600" t="str">
        <f t="shared" si="103"/>
        <v>J58</v>
      </c>
      <c r="GG32" s="1130">
        <v>0</v>
      </c>
      <c r="GH32" s="1131">
        <v>0</v>
      </c>
      <c r="GI32" s="1130"/>
      <c r="GJ32" s="1131"/>
      <c r="GK32" s="1638">
        <f t="shared" si="104"/>
        <v>829.5</v>
      </c>
      <c r="GL32" s="1636">
        <f t="shared" si="105"/>
        <v>829.5</v>
      </c>
      <c r="GM32" s="1637">
        <f>IF(ABS(GK32-GL32)&gt;='Job Info.'!$L$22,ABS(GK32-GL32),0)</f>
        <v>0</v>
      </c>
      <c r="HA32" s="1269" t="s">
        <v>1488</v>
      </c>
      <c r="HB32" s="1270">
        <v>4</v>
      </c>
      <c r="HC32" s="1270" t="s">
        <v>1593</v>
      </c>
      <c r="HD32" s="1271">
        <v>69</v>
      </c>
      <c r="HE32" s="1272">
        <v>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v>
      </c>
      <c r="HX32" s="1272">
        <v>4</v>
      </c>
      <c r="HY32" s="1272" t="s">
        <v>116</v>
      </c>
      <c r="HZ32" s="1272" t="s">
        <v>116</v>
      </c>
      <c r="IA32" s="1272" t="s">
        <v>1681</v>
      </c>
      <c r="IB32" s="1272"/>
      <c r="IC32" s="1272"/>
      <c r="ID32" s="1272"/>
      <c r="IE32" s="1272"/>
      <c r="IF32" s="1274"/>
    </row>
    <row r="33" spans="1:240" ht="12.6" customHeight="1" x14ac:dyDescent="0.25">
      <c r="A33" s="1448" t="s">
        <v>1489</v>
      </c>
      <c r="B33" s="1681">
        <v>3</v>
      </c>
      <c r="C33" s="1449" t="s">
        <v>1593</v>
      </c>
      <c r="D33" s="1705">
        <v>69</v>
      </c>
      <c r="E33" s="1706">
        <v>1.5</v>
      </c>
      <c r="F33" s="1714" t="str">
        <f t="shared" si="1"/>
        <v/>
      </c>
      <c r="G33" s="1709" t="str">
        <f t="shared" si="2"/>
        <v/>
      </c>
      <c r="H33" s="1779" t="str">
        <f t="shared" si="3"/>
        <v/>
      </c>
      <c r="I33" s="1705" t="str">
        <f t="shared" si="4"/>
        <v/>
      </c>
      <c r="J33" s="1709" t="str">
        <f t="shared" si="5"/>
        <v/>
      </c>
      <c r="K33" s="1796" t="str">
        <f t="shared" si="6"/>
        <v/>
      </c>
      <c r="L33" s="1712">
        <v>5</v>
      </c>
      <c r="M33" s="1713">
        <v>5</v>
      </c>
      <c r="N33" s="1708">
        <v>0</v>
      </c>
      <c r="O33" s="1709">
        <v>6.75</v>
      </c>
      <c r="P33" s="1710">
        <v>2</v>
      </c>
      <c r="Q33" s="1705" t="str">
        <f t="shared" si="10"/>
        <v/>
      </c>
      <c r="R33" s="1709" t="str">
        <f t="shared" si="11"/>
        <v/>
      </c>
      <c r="S33" s="1711" t="str">
        <f t="shared" si="12"/>
        <v/>
      </c>
      <c r="T33" s="1714">
        <v>0</v>
      </c>
      <c r="U33" s="1709">
        <v>2.25</v>
      </c>
      <c r="V33" s="1705">
        <v>0</v>
      </c>
      <c r="W33" s="1709">
        <v>2</v>
      </c>
      <c r="X33" s="1713">
        <v>4</v>
      </c>
      <c r="Y33" s="1781" t="str">
        <f t="shared" si="13"/>
        <v/>
      </c>
      <c r="Z33" s="1782" t="str">
        <f t="shared" si="14"/>
        <v/>
      </c>
      <c r="AA33" s="1783" t="s">
        <v>1763</v>
      </c>
      <c r="AB33" s="1413"/>
      <c r="AC33" s="964" t="b">
        <v>0</v>
      </c>
      <c r="AD33" s="441">
        <f t="shared" si="15"/>
        <v>0</v>
      </c>
      <c r="AE33" s="442">
        <f t="shared" si="16"/>
        <v>3</v>
      </c>
      <c r="AF33" s="442">
        <f t="shared" si="17"/>
        <v>0</v>
      </c>
      <c r="AG33" s="442">
        <f t="shared" si="18"/>
        <v>0</v>
      </c>
      <c r="AH33" s="443">
        <f t="shared" si="19"/>
        <v>0</v>
      </c>
      <c r="AI33" s="444" t="b">
        <v>0</v>
      </c>
      <c r="AJ33" s="238">
        <f t="shared" si="20"/>
        <v>44</v>
      </c>
      <c r="AK33" s="830" t="str">
        <f t="shared" si="21"/>
        <v>LH</v>
      </c>
      <c r="AL33" s="945" t="str">
        <f t="shared" si="22"/>
        <v/>
      </c>
      <c r="AM33" s="830">
        <f t="shared" si="23"/>
        <v>305</v>
      </c>
      <c r="AN33" s="830">
        <f t="shared" si="24"/>
        <v>180</v>
      </c>
      <c r="AO33" s="830" t="str">
        <f t="shared" si="25"/>
        <v/>
      </c>
      <c r="AP33" s="830" t="b">
        <f>IF(ISERROR(AJ33),FALSE,IF(OR(AJ33=0,ISERROR(AL33),ISERROR(AM33),ISERROR(AN33),ISERROR(AO33)),FALSE,IF(AL33&lt;&gt;"",IF(ISERROR(VLOOKUP(SUBSTITUTE(SUBSTITUTE(C33,"R",""),"A",""),TblJoistSize!$A:$A,1,FALSE)),FALSE,TRUE),TRUE)))</f>
        <v>1</v>
      </c>
      <c r="AQ33" s="1038">
        <f t="shared" si="26"/>
        <v>6</v>
      </c>
      <c r="AR33" s="945" t="b">
        <f t="shared" si="27"/>
        <v>1</v>
      </c>
      <c r="AS33" s="1038">
        <f t="shared" si="28"/>
        <v>6</v>
      </c>
      <c r="AT33" s="945" t="b">
        <f t="shared" si="29"/>
        <v>1</v>
      </c>
      <c r="AU33" s="946" t="str">
        <f t="shared" si="30"/>
        <v>LH</v>
      </c>
      <c r="AV33" s="830" t="str">
        <f t="shared" si="31"/>
        <v/>
      </c>
      <c r="AW33" s="830" t="str">
        <f t="shared" si="32"/>
        <v>LH</v>
      </c>
      <c r="AX33" s="830" t="str">
        <f t="shared" si="106"/>
        <v>TJ59</v>
      </c>
      <c r="AY33" s="1039" t="b">
        <f t="shared" si="33"/>
        <v>0</v>
      </c>
      <c r="AZ33" s="856" t="b">
        <f t="shared" si="34"/>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f t="shared" si="47"/>
        <v>5</v>
      </c>
      <c r="CS33" s="751">
        <f t="shared" si="48"/>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str">
        <f t="shared" si="70"/>
        <v>ERR</v>
      </c>
      <c r="EI33" s="856" t="str">
        <f t="shared" si="71"/>
        <v>ERR</v>
      </c>
      <c r="EJ33" s="822" t="str">
        <f t="shared" si="72"/>
        <v/>
      </c>
      <c r="EK33" s="822" t="str">
        <f t="shared" si="72"/>
        <v/>
      </c>
      <c r="EL33" s="1293" t="str">
        <f t="shared" si="73"/>
        <v/>
      </c>
      <c r="EM33" s="822" t="str">
        <f t="shared" si="74"/>
        <v/>
      </c>
      <c r="EN33" s="822" t="str">
        <f t="shared" si="75"/>
        <v/>
      </c>
      <c r="EO33" s="856" t="str">
        <f t="shared" si="76"/>
        <v>ERR</v>
      </c>
      <c r="EP33" s="856" t="str">
        <f t="shared" si="77"/>
        <v>ERR</v>
      </c>
      <c r="EQ33" s="1293" t="str">
        <f t="shared" si="78"/>
        <v/>
      </c>
      <c r="ER33" s="822" t="str">
        <f t="shared" si="78"/>
        <v/>
      </c>
      <c r="ES33" s="822" t="str">
        <f t="shared" si="79"/>
        <v/>
      </c>
      <c r="ET33" s="822" t="str">
        <f t="shared" si="80"/>
        <v/>
      </c>
      <c r="EU33" s="829">
        <f t="shared" si="81"/>
        <v>4</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v>69</v>
      </c>
      <c r="GB33" s="1792">
        <v>2.25</v>
      </c>
      <c r="GC33" s="1793">
        <v>-0.25</v>
      </c>
      <c r="GD33" s="1794">
        <v>-0.5</v>
      </c>
      <c r="GE33" s="1795">
        <f t="shared" si="102"/>
        <v>0</v>
      </c>
      <c r="GF33" s="600" t="str">
        <f t="shared" si="103"/>
        <v>TJ59</v>
      </c>
      <c r="GG33" s="1130">
        <v>0</v>
      </c>
      <c r="GH33" s="1131">
        <v>0</v>
      </c>
      <c r="GI33" s="1130"/>
      <c r="GJ33" s="1131"/>
      <c r="GK33" s="1638">
        <f t="shared" si="104"/>
        <v>829.5</v>
      </c>
      <c r="GL33" s="1636">
        <f t="shared" si="105"/>
        <v>829.5</v>
      </c>
      <c r="GM33" s="1637">
        <f>IF(ABS(GK33-GL33)&gt;='Job Info.'!$L$22,ABS(GK33-GL33),0)</f>
        <v>0</v>
      </c>
      <c r="HA33" s="1269" t="s">
        <v>1489</v>
      </c>
      <c r="HB33" s="1270">
        <v>3</v>
      </c>
      <c r="HC33" s="1270" t="s">
        <v>1593</v>
      </c>
      <c r="HD33" s="1271">
        <v>69</v>
      </c>
      <c r="HE33" s="1272">
        <v>1.5</v>
      </c>
      <c r="HF33" s="1270" t="s">
        <v>116</v>
      </c>
      <c r="HG33" s="1270" t="s">
        <v>116</v>
      </c>
      <c r="HH33" s="1270" t="s">
        <v>116</v>
      </c>
      <c r="HI33" s="1273" t="s">
        <v>116</v>
      </c>
      <c r="HJ33" s="1270" t="s">
        <v>116</v>
      </c>
      <c r="HK33" s="1270" t="s">
        <v>116</v>
      </c>
      <c r="HL33" s="1270">
        <v>5</v>
      </c>
      <c r="HM33" s="1270">
        <v>5</v>
      </c>
      <c r="HN33" s="1270">
        <v>0</v>
      </c>
      <c r="HO33" s="1270">
        <v>6.75</v>
      </c>
      <c r="HP33" s="1270">
        <v>2</v>
      </c>
      <c r="HQ33" s="1273" t="s">
        <v>116</v>
      </c>
      <c r="HR33" s="1270" t="s">
        <v>116</v>
      </c>
      <c r="HS33" s="1270" t="s">
        <v>116</v>
      </c>
      <c r="HT33" s="1270">
        <v>0</v>
      </c>
      <c r="HU33" s="1270">
        <v>2.25</v>
      </c>
      <c r="HV33" s="1270">
        <v>0</v>
      </c>
      <c r="HW33" s="1272">
        <v>2</v>
      </c>
      <c r="HX33" s="1272">
        <v>4</v>
      </c>
      <c r="HY33" s="1272" t="s">
        <v>116</v>
      </c>
      <c r="HZ33" s="1272" t="s">
        <v>116</v>
      </c>
      <c r="IA33" s="1272" t="s">
        <v>1682</v>
      </c>
      <c r="IB33" s="1272"/>
      <c r="IC33" s="1272"/>
      <c r="ID33" s="1272"/>
      <c r="IE33" s="1272"/>
      <c r="IF33" s="1274"/>
    </row>
    <row r="34" spans="1:240" ht="12.6" customHeight="1" x14ac:dyDescent="0.25">
      <c r="A34" s="1448" t="s">
        <v>1490</v>
      </c>
      <c r="B34" s="1681">
        <v>10</v>
      </c>
      <c r="C34" s="1449" t="s">
        <v>1593</v>
      </c>
      <c r="D34" s="1705">
        <v>69</v>
      </c>
      <c r="E34" s="1706">
        <v>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7"/>
        <v/>
      </c>
      <c r="O34" s="1709" t="str">
        <f t="shared" si="8"/>
        <v/>
      </c>
      <c r="P34" s="1710" t="str">
        <f t="shared" si="9"/>
        <v/>
      </c>
      <c r="Q34" s="1705" t="str">
        <f t="shared" si="10"/>
        <v/>
      </c>
      <c r="R34" s="1709" t="str">
        <f t="shared" si="11"/>
        <v/>
      </c>
      <c r="S34" s="1711" t="str">
        <f t="shared" si="12"/>
        <v/>
      </c>
      <c r="T34" s="1714">
        <v>0</v>
      </c>
      <c r="U34" s="1709">
        <v>2.25</v>
      </c>
      <c r="V34" s="1705">
        <v>0</v>
      </c>
      <c r="W34" s="1709">
        <v>2</v>
      </c>
      <c r="X34" s="1713">
        <v>4</v>
      </c>
      <c r="Y34" s="1781" t="str">
        <f t="shared" si="13"/>
        <v/>
      </c>
      <c r="Z34" s="1782" t="str">
        <f t="shared" si="14"/>
        <v/>
      </c>
      <c r="AA34" s="1783" t="s">
        <v>1764</v>
      </c>
      <c r="AB34" s="1413"/>
      <c r="AC34" s="964" t="b">
        <v>0</v>
      </c>
      <c r="AD34" s="441">
        <f t="shared" si="15"/>
        <v>0</v>
      </c>
      <c r="AE34" s="442">
        <f t="shared" si="16"/>
        <v>10</v>
      </c>
      <c r="AF34" s="442">
        <f t="shared" si="17"/>
        <v>0</v>
      </c>
      <c r="AG34" s="442">
        <f t="shared" si="18"/>
        <v>0</v>
      </c>
      <c r="AH34" s="443">
        <f t="shared" si="19"/>
        <v>0</v>
      </c>
      <c r="AI34" s="444" t="b">
        <v>0</v>
      </c>
      <c r="AJ34" s="238">
        <f t="shared" si="20"/>
        <v>44</v>
      </c>
      <c r="AK34" s="830" t="str">
        <f t="shared" si="21"/>
        <v>LH</v>
      </c>
      <c r="AL34" s="945" t="str">
        <f t="shared" si="22"/>
        <v/>
      </c>
      <c r="AM34" s="830">
        <f t="shared" si="23"/>
        <v>305</v>
      </c>
      <c r="AN34" s="830">
        <f t="shared" si="24"/>
        <v>180</v>
      </c>
      <c r="AO34" s="830" t="str">
        <f t="shared" si="25"/>
        <v/>
      </c>
      <c r="AP34" s="830" t="b">
        <f>IF(ISERROR(AJ34),FALSE,IF(OR(AJ34=0,ISERROR(AL34),ISERROR(AM34),ISERROR(AN34),ISERROR(AO34)),FALSE,IF(AL34&lt;&gt;"",IF(ISERROR(VLOOKUP(SUBSTITUTE(SUBSTITUTE(C34,"R",""),"A",""),TblJoistSize!$A:$A,1,FALSE)),FALSE,TRUE),TRUE)))</f>
        <v>1</v>
      </c>
      <c r="AQ34" s="1038">
        <f t="shared" si="26"/>
        <v>6</v>
      </c>
      <c r="AR34" s="945" t="b">
        <f t="shared" si="27"/>
        <v>1</v>
      </c>
      <c r="AS34" s="1038">
        <f t="shared" si="28"/>
        <v>6</v>
      </c>
      <c r="AT34" s="945" t="b">
        <f t="shared" si="29"/>
        <v>1</v>
      </c>
      <c r="AU34" s="946" t="str">
        <f t="shared" si="30"/>
        <v>LH</v>
      </c>
      <c r="AV34" s="830" t="str">
        <f t="shared" si="31"/>
        <v/>
      </c>
      <c r="AW34" s="830" t="str">
        <f t="shared" si="32"/>
        <v>LH</v>
      </c>
      <c r="AX34" s="830" t="str">
        <f t="shared" si="106"/>
        <v>J60</v>
      </c>
      <c r="AY34" s="1039" t="b">
        <f t="shared" si="33"/>
        <v>0</v>
      </c>
      <c r="AZ34" s="856" t="b">
        <f t="shared" si="34"/>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f t="shared" si="47"/>
        <v>5</v>
      </c>
      <c r="CS34" s="751">
        <f t="shared" si="48"/>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str">
        <f t="shared" si="70"/>
        <v>ERR</v>
      </c>
      <c r="EI34" s="856" t="str">
        <f t="shared" si="71"/>
        <v>ERR</v>
      </c>
      <c r="EJ34" s="822" t="str">
        <f t="shared" si="72"/>
        <v/>
      </c>
      <c r="EK34" s="822" t="str">
        <f t="shared" si="72"/>
        <v/>
      </c>
      <c r="EL34" s="1293" t="str">
        <f t="shared" si="73"/>
        <v/>
      </c>
      <c r="EM34" s="822" t="str">
        <f t="shared" si="74"/>
        <v/>
      </c>
      <c r="EN34" s="822" t="str">
        <f t="shared" si="75"/>
        <v/>
      </c>
      <c r="EO34" s="856" t="str">
        <f t="shared" si="76"/>
        <v>ERR</v>
      </c>
      <c r="EP34" s="856" t="str">
        <f t="shared" si="77"/>
        <v>ERR</v>
      </c>
      <c r="EQ34" s="1293" t="str">
        <f t="shared" si="78"/>
        <v/>
      </c>
      <c r="ER34" s="822" t="str">
        <f t="shared" si="78"/>
        <v/>
      </c>
      <c r="ES34" s="822" t="str">
        <f t="shared" si="79"/>
        <v/>
      </c>
      <c r="ET34" s="822" t="str">
        <f t="shared" si="80"/>
        <v/>
      </c>
      <c r="EU34" s="829">
        <f t="shared" si="81"/>
        <v>4</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v>69</v>
      </c>
      <c r="GB34" s="1792">
        <v>2.25</v>
      </c>
      <c r="GC34" s="1793">
        <v>-0.25</v>
      </c>
      <c r="GD34" s="1794">
        <v>-0.5</v>
      </c>
      <c r="GE34" s="1795">
        <f t="shared" si="102"/>
        <v>0</v>
      </c>
      <c r="GF34" s="600" t="str">
        <f t="shared" si="103"/>
        <v>J60</v>
      </c>
      <c r="GG34" s="1130">
        <v>0</v>
      </c>
      <c r="GH34" s="1131">
        <v>0</v>
      </c>
      <c r="GI34" s="1130"/>
      <c r="GJ34" s="1131"/>
      <c r="GK34" s="1638">
        <f t="shared" si="104"/>
        <v>829.5</v>
      </c>
      <c r="GL34" s="1636">
        <f t="shared" si="105"/>
        <v>829.5</v>
      </c>
      <c r="GM34" s="1637">
        <f>IF(ABS(GK34-GL34)&gt;='Job Info.'!$L$22,ABS(GK34-GL34),0)</f>
        <v>0</v>
      </c>
      <c r="HA34" s="1269" t="s">
        <v>1490</v>
      </c>
      <c r="HB34" s="1270">
        <v>10</v>
      </c>
      <c r="HC34" s="1270" t="s">
        <v>1593</v>
      </c>
      <c r="HD34" s="1271">
        <v>69</v>
      </c>
      <c r="HE34" s="1272">
        <v>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v>
      </c>
      <c r="HX34" s="1272">
        <v>4</v>
      </c>
      <c r="HY34" s="1272" t="s">
        <v>116</v>
      </c>
      <c r="HZ34" s="1272" t="s">
        <v>116</v>
      </c>
      <c r="IA34" s="1272" t="s">
        <v>1682</v>
      </c>
      <c r="IB34" s="1272"/>
      <c r="IC34" s="1272"/>
      <c r="ID34" s="1272"/>
      <c r="IE34" s="1272"/>
      <c r="IF34" s="1274"/>
    </row>
    <row r="35" spans="1:240" ht="12.6" customHeight="1" x14ac:dyDescent="0.25">
      <c r="A35" s="1448" t="s">
        <v>1491</v>
      </c>
      <c r="B35" s="1681">
        <v>4</v>
      </c>
      <c r="C35" s="1449" t="s">
        <v>1593</v>
      </c>
      <c r="D35" s="1705">
        <v>69</v>
      </c>
      <c r="E35" s="1706">
        <v>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7"/>
        <v/>
      </c>
      <c r="O35" s="1709" t="str">
        <f t="shared" si="8"/>
        <v/>
      </c>
      <c r="P35" s="1710" t="str">
        <f t="shared" si="9"/>
        <v/>
      </c>
      <c r="Q35" s="1705" t="str">
        <f t="shared" si="10"/>
        <v/>
      </c>
      <c r="R35" s="1709" t="str">
        <f t="shared" si="11"/>
        <v/>
      </c>
      <c r="S35" s="1711" t="str">
        <f t="shared" si="12"/>
        <v/>
      </c>
      <c r="T35" s="1714">
        <v>0</v>
      </c>
      <c r="U35" s="1709">
        <v>2.25</v>
      </c>
      <c r="V35" s="1705">
        <v>0</v>
      </c>
      <c r="W35" s="1709">
        <v>2</v>
      </c>
      <c r="X35" s="1713">
        <v>4</v>
      </c>
      <c r="Y35" s="1781" t="str">
        <f t="shared" si="13"/>
        <v/>
      </c>
      <c r="Z35" s="1782" t="str">
        <f t="shared" si="14"/>
        <v/>
      </c>
      <c r="AA35" s="1783" t="s">
        <v>1765</v>
      </c>
      <c r="AB35" s="1413"/>
      <c r="AC35" s="964" t="b">
        <v>0</v>
      </c>
      <c r="AD35" s="441">
        <f t="shared" si="15"/>
        <v>0</v>
      </c>
      <c r="AE35" s="442">
        <f t="shared" si="16"/>
        <v>4</v>
      </c>
      <c r="AF35" s="442">
        <f t="shared" si="17"/>
        <v>0</v>
      </c>
      <c r="AG35" s="442">
        <f t="shared" si="18"/>
        <v>0</v>
      </c>
      <c r="AH35" s="443">
        <f t="shared" si="19"/>
        <v>0</v>
      </c>
      <c r="AI35" s="444" t="b">
        <v>0</v>
      </c>
      <c r="AJ35" s="238">
        <f t="shared" si="20"/>
        <v>44</v>
      </c>
      <c r="AK35" s="830" t="str">
        <f t="shared" si="21"/>
        <v>LH</v>
      </c>
      <c r="AL35" s="945" t="str">
        <f t="shared" si="22"/>
        <v/>
      </c>
      <c r="AM35" s="830">
        <f t="shared" si="23"/>
        <v>305</v>
      </c>
      <c r="AN35" s="830">
        <f t="shared" si="24"/>
        <v>180</v>
      </c>
      <c r="AO35" s="830" t="str">
        <f t="shared" si="25"/>
        <v/>
      </c>
      <c r="AP35" s="830" t="b">
        <f>IF(ISERROR(AJ35),FALSE,IF(OR(AJ35=0,ISERROR(AL35),ISERROR(AM35),ISERROR(AN35),ISERROR(AO35)),FALSE,IF(AL35&lt;&gt;"",IF(ISERROR(VLOOKUP(SUBSTITUTE(SUBSTITUTE(C35,"R",""),"A",""),TblJoistSize!$A:$A,1,FALSE)),FALSE,TRUE),TRUE)))</f>
        <v>1</v>
      </c>
      <c r="AQ35" s="1038">
        <f t="shared" si="26"/>
        <v>6</v>
      </c>
      <c r="AR35" s="945" t="b">
        <f t="shared" si="27"/>
        <v>1</v>
      </c>
      <c r="AS35" s="1038">
        <f t="shared" si="28"/>
        <v>6</v>
      </c>
      <c r="AT35" s="945" t="b">
        <f t="shared" si="29"/>
        <v>1</v>
      </c>
      <c r="AU35" s="946" t="str">
        <f t="shared" si="30"/>
        <v>LH</v>
      </c>
      <c r="AV35" s="830" t="str">
        <f t="shared" si="31"/>
        <v/>
      </c>
      <c r="AW35" s="830" t="str">
        <f t="shared" si="32"/>
        <v>LH</v>
      </c>
      <c r="AX35" s="830" t="str">
        <f t="shared" si="106"/>
        <v>J61</v>
      </c>
      <c r="AY35" s="1039" t="b">
        <f t="shared" si="33"/>
        <v>0</v>
      </c>
      <c r="AZ35" s="856" t="b">
        <f t="shared" si="34"/>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f t="shared" si="47"/>
        <v>5</v>
      </c>
      <c r="CS35" s="751">
        <f t="shared" si="48"/>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str">
        <f t="shared" si="70"/>
        <v>ERR</v>
      </c>
      <c r="EI35" s="856" t="str">
        <f t="shared" si="71"/>
        <v>ERR</v>
      </c>
      <c r="EJ35" s="822" t="str">
        <f t="shared" si="72"/>
        <v/>
      </c>
      <c r="EK35" s="822" t="str">
        <f t="shared" si="72"/>
        <v/>
      </c>
      <c r="EL35" s="1293" t="str">
        <f t="shared" si="73"/>
        <v/>
      </c>
      <c r="EM35" s="822" t="str">
        <f t="shared" si="74"/>
        <v/>
      </c>
      <c r="EN35" s="822" t="str">
        <f t="shared" si="75"/>
        <v/>
      </c>
      <c r="EO35" s="856" t="str">
        <f t="shared" si="76"/>
        <v>ERR</v>
      </c>
      <c r="EP35" s="856" t="str">
        <f t="shared" si="77"/>
        <v>ERR</v>
      </c>
      <c r="EQ35" s="1293" t="str">
        <f t="shared" si="78"/>
        <v/>
      </c>
      <c r="ER35" s="822" t="str">
        <f t="shared" si="78"/>
        <v/>
      </c>
      <c r="ES35" s="822" t="str">
        <f t="shared" si="79"/>
        <v/>
      </c>
      <c r="ET35" s="822" t="str">
        <f t="shared" si="80"/>
        <v/>
      </c>
      <c r="EU35" s="829">
        <f t="shared" si="81"/>
        <v>4</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v>69</v>
      </c>
      <c r="GB35" s="1792">
        <v>2.25</v>
      </c>
      <c r="GC35" s="1793">
        <v>-0.25</v>
      </c>
      <c r="GD35" s="1794">
        <v>-0.5</v>
      </c>
      <c r="GE35" s="1795">
        <f t="shared" si="102"/>
        <v>0</v>
      </c>
      <c r="GF35" s="600" t="str">
        <f t="shared" si="103"/>
        <v>J61</v>
      </c>
      <c r="GG35" s="1130">
        <v>0</v>
      </c>
      <c r="GH35" s="1131">
        <v>0</v>
      </c>
      <c r="GI35" s="1130"/>
      <c r="GJ35" s="1131"/>
      <c r="GK35" s="1638">
        <f t="shared" si="104"/>
        <v>829.5</v>
      </c>
      <c r="GL35" s="1636">
        <f t="shared" si="105"/>
        <v>829.5</v>
      </c>
      <c r="GM35" s="1637">
        <f>IF(ABS(GK35-GL35)&gt;='Job Info.'!$L$22,ABS(GK35-GL35),0)</f>
        <v>0</v>
      </c>
      <c r="HA35" s="1269" t="s">
        <v>1491</v>
      </c>
      <c r="HB35" s="1270">
        <v>4</v>
      </c>
      <c r="HC35" s="1270" t="s">
        <v>1593</v>
      </c>
      <c r="HD35" s="1271">
        <v>69</v>
      </c>
      <c r="HE35" s="1272">
        <v>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v>
      </c>
      <c r="HX35" s="1272">
        <v>4</v>
      </c>
      <c r="HY35" s="1272" t="s">
        <v>116</v>
      </c>
      <c r="HZ35" s="1272" t="s">
        <v>116</v>
      </c>
      <c r="IA35" s="1272" t="s">
        <v>1683</v>
      </c>
      <c r="IB35" s="1272"/>
      <c r="IC35" s="1272"/>
      <c r="ID35" s="1272"/>
      <c r="IE35" s="1272"/>
      <c r="IF35" s="1274"/>
    </row>
    <row r="36" spans="1:240" ht="12.6" customHeight="1" x14ac:dyDescent="0.25">
      <c r="A36" s="1448" t="s">
        <v>1492</v>
      </c>
      <c r="B36" s="1681">
        <v>7</v>
      </c>
      <c r="C36" s="1449" t="s">
        <v>1592</v>
      </c>
      <c r="D36" s="1705">
        <v>40</v>
      </c>
      <c r="E36" s="1706">
        <v>0</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7"/>
        <v/>
      </c>
      <c r="O36" s="1709" t="str">
        <f t="shared" si="8"/>
        <v/>
      </c>
      <c r="P36" s="1710" t="str">
        <f t="shared" si="9"/>
        <v/>
      </c>
      <c r="Q36" s="1705" t="str">
        <f t="shared" si="10"/>
        <v/>
      </c>
      <c r="R36" s="1709" t="str">
        <f t="shared" si="11"/>
        <v/>
      </c>
      <c r="S36" s="1711" t="str">
        <f t="shared" si="12"/>
        <v/>
      </c>
      <c r="T36" s="1714">
        <v>0</v>
      </c>
      <c r="U36" s="1709">
        <v>2.25</v>
      </c>
      <c r="V36" s="1705">
        <v>0</v>
      </c>
      <c r="W36" s="1709">
        <v>2</v>
      </c>
      <c r="X36" s="1713">
        <v>4</v>
      </c>
      <c r="Y36" s="1781" t="str">
        <f t="shared" si="13"/>
        <v/>
      </c>
      <c r="Z36" s="1782" t="str">
        <f t="shared" si="14"/>
        <v/>
      </c>
      <c r="AA36" s="1783" t="s">
        <v>1766</v>
      </c>
      <c r="AB36" s="1413"/>
      <c r="AC36" s="964" t="b">
        <v>0</v>
      </c>
      <c r="AD36" s="441">
        <f t="shared" si="15"/>
        <v>0</v>
      </c>
      <c r="AE36" s="442">
        <f t="shared" si="16"/>
        <v>7</v>
      </c>
      <c r="AF36" s="442">
        <f t="shared" si="17"/>
        <v>0</v>
      </c>
      <c r="AG36" s="442">
        <f t="shared" si="18"/>
        <v>0</v>
      </c>
      <c r="AH36" s="443">
        <f t="shared" si="19"/>
        <v>0</v>
      </c>
      <c r="AI36" s="444" t="b">
        <v>0</v>
      </c>
      <c r="AJ36" s="238">
        <f t="shared" si="20"/>
        <v>32</v>
      </c>
      <c r="AK36" s="830" t="str">
        <f t="shared" si="21"/>
        <v>LH</v>
      </c>
      <c r="AL36" s="945" t="str">
        <f t="shared" si="22"/>
        <v/>
      </c>
      <c r="AM36" s="830">
        <f t="shared" si="23"/>
        <v>305</v>
      </c>
      <c r="AN36" s="830">
        <f t="shared" si="24"/>
        <v>180</v>
      </c>
      <c r="AO36" s="830" t="str">
        <f t="shared" si="25"/>
        <v/>
      </c>
      <c r="AP36" s="830" t="b">
        <f>IF(ISERROR(AJ36),FALSE,IF(OR(AJ36=0,ISERROR(AL36),ISERROR(AM36),ISERROR(AN36),ISERROR(AO36)),FALSE,IF(AL36&lt;&gt;"",IF(ISERROR(VLOOKUP(SUBSTITUTE(SUBSTITUTE(C36,"R",""),"A",""),TblJoistSize!$A:$A,1,FALSE)),FALSE,TRUE),TRUE)))</f>
        <v>1</v>
      </c>
      <c r="AQ36" s="1038">
        <f t="shared" si="26"/>
        <v>6</v>
      </c>
      <c r="AR36" s="945" t="b">
        <f t="shared" si="27"/>
        <v>1</v>
      </c>
      <c r="AS36" s="1038">
        <f t="shared" si="28"/>
        <v>6</v>
      </c>
      <c r="AT36" s="945" t="b">
        <f t="shared" si="29"/>
        <v>1</v>
      </c>
      <c r="AU36" s="946" t="str">
        <f t="shared" si="30"/>
        <v>LH</v>
      </c>
      <c r="AV36" s="830" t="str">
        <f t="shared" si="31"/>
        <v/>
      </c>
      <c r="AW36" s="830" t="str">
        <f t="shared" si="32"/>
        <v>LH</v>
      </c>
      <c r="AX36" s="830" t="str">
        <f t="shared" si="106"/>
        <v>J62</v>
      </c>
      <c r="AY36" s="1039" t="b">
        <f t="shared" si="33"/>
        <v>0</v>
      </c>
      <c r="AZ36" s="856" t="b">
        <f t="shared" si="34"/>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f t="shared" si="47"/>
        <v>5</v>
      </c>
      <c r="CS36" s="751">
        <f t="shared" si="48"/>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str">
        <f t="shared" si="70"/>
        <v>ERR</v>
      </c>
      <c r="EI36" s="856" t="str">
        <f t="shared" si="71"/>
        <v>ERR</v>
      </c>
      <c r="EJ36" s="822" t="str">
        <f t="shared" si="72"/>
        <v/>
      </c>
      <c r="EK36" s="822" t="str">
        <f t="shared" si="72"/>
        <v/>
      </c>
      <c r="EL36" s="1293" t="str">
        <f t="shared" si="73"/>
        <v/>
      </c>
      <c r="EM36" s="822" t="str">
        <f t="shared" si="74"/>
        <v/>
      </c>
      <c r="EN36" s="822" t="str">
        <f t="shared" si="75"/>
        <v/>
      </c>
      <c r="EO36" s="856" t="str">
        <f t="shared" si="76"/>
        <v>ERR</v>
      </c>
      <c r="EP36" s="856" t="str">
        <f t="shared" si="77"/>
        <v>ERR</v>
      </c>
      <c r="EQ36" s="1293" t="str">
        <f t="shared" si="78"/>
        <v/>
      </c>
      <c r="ER36" s="822" t="str">
        <f t="shared" si="78"/>
        <v/>
      </c>
      <c r="ES36" s="822" t="str">
        <f t="shared" si="79"/>
        <v/>
      </c>
      <c r="ET36" s="822" t="str">
        <f t="shared" si="80"/>
        <v/>
      </c>
      <c r="EU36" s="829">
        <f t="shared" si="81"/>
        <v>4</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v>40</v>
      </c>
      <c r="GB36" s="1792">
        <v>0.75</v>
      </c>
      <c r="GC36" s="1793">
        <v>-0.25</v>
      </c>
      <c r="GD36" s="1794">
        <v>-0.5</v>
      </c>
      <c r="GE36" s="1795">
        <f t="shared" si="102"/>
        <v>0</v>
      </c>
      <c r="GF36" s="600" t="str">
        <f t="shared" si="103"/>
        <v>J62</v>
      </c>
      <c r="GG36" s="1130">
        <v>0</v>
      </c>
      <c r="GH36" s="1131">
        <v>0</v>
      </c>
      <c r="GI36" s="1130"/>
      <c r="GJ36" s="1131"/>
      <c r="GK36" s="1638">
        <f t="shared" si="104"/>
        <v>480</v>
      </c>
      <c r="GL36" s="1636">
        <f t="shared" si="105"/>
        <v>480</v>
      </c>
      <c r="GM36" s="1637">
        <f>IF(ABS(GK36-GL36)&gt;='Job Info.'!$L$22,ABS(GK36-GL36),0)</f>
        <v>0</v>
      </c>
      <c r="HA36" s="1269" t="s">
        <v>1492</v>
      </c>
      <c r="HB36" s="1270">
        <v>7</v>
      </c>
      <c r="HC36" s="1270" t="s">
        <v>1592</v>
      </c>
      <c r="HD36" s="1271">
        <v>40</v>
      </c>
      <c r="HE36" s="1272">
        <v>0</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v>
      </c>
      <c r="HX36" s="1272">
        <v>4</v>
      </c>
      <c r="HY36" s="1272" t="s">
        <v>116</v>
      </c>
      <c r="HZ36" s="1272" t="s">
        <v>116</v>
      </c>
      <c r="IA36" s="1272" t="s">
        <v>1684</v>
      </c>
      <c r="IB36" s="1272"/>
      <c r="IC36" s="1272"/>
      <c r="ID36" s="1272"/>
      <c r="IE36" s="1272"/>
      <c r="IF36" s="1274"/>
    </row>
    <row r="37" spans="1:240" ht="12.6" customHeight="1" x14ac:dyDescent="0.25">
      <c r="A37" s="1448" t="s">
        <v>1493</v>
      </c>
      <c r="B37" s="1681">
        <v>1</v>
      </c>
      <c r="C37" s="1449" t="s">
        <v>1592</v>
      </c>
      <c r="D37" s="1705">
        <v>40</v>
      </c>
      <c r="E37" s="1706">
        <v>0</v>
      </c>
      <c r="F37" s="1714" t="str">
        <f t="shared" si="1"/>
        <v/>
      </c>
      <c r="G37" s="1709" t="str">
        <f t="shared" si="2"/>
        <v/>
      </c>
      <c r="H37" s="1779" t="str">
        <f t="shared" si="3"/>
        <v/>
      </c>
      <c r="I37" s="1705" t="str">
        <f t="shared" si="4"/>
        <v/>
      </c>
      <c r="J37" s="1709" t="str">
        <f t="shared" si="5"/>
        <v/>
      </c>
      <c r="K37" s="1796" t="str">
        <f t="shared" si="6"/>
        <v/>
      </c>
      <c r="L37" s="1712">
        <v>5</v>
      </c>
      <c r="M37" s="1713">
        <v>5</v>
      </c>
      <c r="N37" s="1708">
        <v>0</v>
      </c>
      <c r="O37" s="1709">
        <v>6.75</v>
      </c>
      <c r="P37" s="1710">
        <v>2</v>
      </c>
      <c r="Q37" s="1705" t="str">
        <f t="shared" si="10"/>
        <v/>
      </c>
      <c r="R37" s="1709" t="str">
        <f t="shared" si="11"/>
        <v/>
      </c>
      <c r="S37" s="1711" t="str">
        <f t="shared" si="12"/>
        <v/>
      </c>
      <c r="T37" s="1714">
        <v>0</v>
      </c>
      <c r="U37" s="1709">
        <v>2.25</v>
      </c>
      <c r="V37" s="1705">
        <v>0</v>
      </c>
      <c r="W37" s="1709">
        <v>2</v>
      </c>
      <c r="X37" s="1713">
        <v>4</v>
      </c>
      <c r="Y37" s="1781" t="str">
        <f t="shared" si="13"/>
        <v/>
      </c>
      <c r="Z37" s="1782" t="str">
        <f t="shared" si="14"/>
        <v/>
      </c>
      <c r="AA37" s="1783" t="s">
        <v>1767</v>
      </c>
      <c r="AB37" s="1413"/>
      <c r="AC37" s="964" t="b">
        <v>0</v>
      </c>
      <c r="AD37" s="441">
        <f t="shared" si="15"/>
        <v>0</v>
      </c>
      <c r="AE37" s="442">
        <f t="shared" si="16"/>
        <v>1</v>
      </c>
      <c r="AF37" s="442">
        <f t="shared" si="17"/>
        <v>0</v>
      </c>
      <c r="AG37" s="442">
        <f t="shared" si="18"/>
        <v>0</v>
      </c>
      <c r="AH37" s="443">
        <f t="shared" si="19"/>
        <v>0</v>
      </c>
      <c r="AI37" s="444" t="b">
        <v>0</v>
      </c>
      <c r="AJ37" s="238">
        <f t="shared" si="20"/>
        <v>32</v>
      </c>
      <c r="AK37" s="830" t="str">
        <f t="shared" si="21"/>
        <v>LH</v>
      </c>
      <c r="AL37" s="945" t="str">
        <f t="shared" si="22"/>
        <v/>
      </c>
      <c r="AM37" s="830">
        <f t="shared" si="23"/>
        <v>305</v>
      </c>
      <c r="AN37" s="830">
        <f t="shared" si="24"/>
        <v>180</v>
      </c>
      <c r="AO37" s="830" t="str">
        <f t="shared" si="25"/>
        <v/>
      </c>
      <c r="AP37" s="830" t="b">
        <f>IF(ISERROR(AJ37),FALSE,IF(OR(AJ37=0,ISERROR(AL37),ISERROR(AM37),ISERROR(AN37),ISERROR(AO37)),FALSE,IF(AL37&lt;&gt;"",IF(ISERROR(VLOOKUP(SUBSTITUTE(SUBSTITUTE(C37,"R",""),"A",""),TblJoistSize!$A:$A,1,FALSE)),FALSE,TRUE),TRUE)))</f>
        <v>1</v>
      </c>
      <c r="AQ37" s="1038">
        <f t="shared" si="26"/>
        <v>6</v>
      </c>
      <c r="AR37" s="945" t="b">
        <f t="shared" si="27"/>
        <v>1</v>
      </c>
      <c r="AS37" s="1038">
        <f t="shared" si="28"/>
        <v>6</v>
      </c>
      <c r="AT37" s="945" t="b">
        <f t="shared" si="29"/>
        <v>1</v>
      </c>
      <c r="AU37" s="946" t="str">
        <f t="shared" si="30"/>
        <v>LH</v>
      </c>
      <c r="AV37" s="830" t="str">
        <f t="shared" si="31"/>
        <v/>
      </c>
      <c r="AW37" s="830" t="str">
        <f t="shared" si="32"/>
        <v>LH</v>
      </c>
      <c r="AX37" s="830" t="str">
        <f t="shared" si="106"/>
        <v>TJ63</v>
      </c>
      <c r="AY37" s="1039" t="b">
        <f t="shared" si="33"/>
        <v>0</v>
      </c>
      <c r="AZ37" s="856" t="b">
        <f t="shared" si="34"/>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f t="shared" si="47"/>
        <v>5</v>
      </c>
      <c r="CS37" s="751">
        <f t="shared" si="48"/>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str">
        <f t="shared" si="70"/>
        <v>ERR</v>
      </c>
      <c r="EI37" s="856" t="str">
        <f t="shared" si="71"/>
        <v>ERR</v>
      </c>
      <c r="EJ37" s="822" t="str">
        <f t="shared" si="72"/>
        <v/>
      </c>
      <c r="EK37" s="822" t="str">
        <f t="shared" si="72"/>
        <v/>
      </c>
      <c r="EL37" s="1293" t="str">
        <f t="shared" si="73"/>
        <v/>
      </c>
      <c r="EM37" s="822" t="str">
        <f t="shared" si="74"/>
        <v/>
      </c>
      <c r="EN37" s="822" t="str">
        <f t="shared" si="75"/>
        <v/>
      </c>
      <c r="EO37" s="856" t="str">
        <f t="shared" si="76"/>
        <v>ERR</v>
      </c>
      <c r="EP37" s="856" t="str">
        <f t="shared" si="77"/>
        <v>ERR</v>
      </c>
      <c r="EQ37" s="1293" t="str">
        <f t="shared" si="78"/>
        <v/>
      </c>
      <c r="ER37" s="822" t="str">
        <f t="shared" si="78"/>
        <v/>
      </c>
      <c r="ES37" s="822" t="str">
        <f t="shared" si="79"/>
        <v/>
      </c>
      <c r="ET37" s="822" t="str">
        <f t="shared" si="80"/>
        <v/>
      </c>
      <c r="EU37" s="829">
        <f t="shared" si="81"/>
        <v>4</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v>40</v>
      </c>
      <c r="GB37" s="1792">
        <v>0.75</v>
      </c>
      <c r="GC37" s="1793">
        <v>-0.25</v>
      </c>
      <c r="GD37" s="1794">
        <v>-0.5</v>
      </c>
      <c r="GE37" s="1795">
        <f t="shared" si="102"/>
        <v>0</v>
      </c>
      <c r="GF37" s="600" t="str">
        <f t="shared" si="103"/>
        <v>TJ63</v>
      </c>
      <c r="GG37" s="1130">
        <v>0</v>
      </c>
      <c r="GH37" s="1131">
        <v>0</v>
      </c>
      <c r="GI37" s="1130"/>
      <c r="GJ37" s="1131"/>
      <c r="GK37" s="1638">
        <f t="shared" si="104"/>
        <v>480</v>
      </c>
      <c r="GL37" s="1636">
        <f t="shared" si="105"/>
        <v>480</v>
      </c>
      <c r="GM37" s="1637">
        <f>IF(ABS(GK37-GL37)&gt;='Job Info.'!$L$22,ABS(GK37-GL37),0)</f>
        <v>0</v>
      </c>
      <c r="HA37" s="1269" t="s">
        <v>1493</v>
      </c>
      <c r="HB37" s="1270">
        <v>1</v>
      </c>
      <c r="HC37" s="1270" t="s">
        <v>1592</v>
      </c>
      <c r="HD37" s="1271">
        <v>40</v>
      </c>
      <c r="HE37" s="1272">
        <v>0</v>
      </c>
      <c r="HF37" s="1270" t="s">
        <v>116</v>
      </c>
      <c r="HG37" s="1270" t="s">
        <v>116</v>
      </c>
      <c r="HH37" s="1270" t="s">
        <v>116</v>
      </c>
      <c r="HI37" s="1273" t="s">
        <v>116</v>
      </c>
      <c r="HJ37" s="1270" t="s">
        <v>116</v>
      </c>
      <c r="HK37" s="1270" t="s">
        <v>116</v>
      </c>
      <c r="HL37" s="1270">
        <v>5</v>
      </c>
      <c r="HM37" s="1270">
        <v>5</v>
      </c>
      <c r="HN37" s="1270">
        <v>0</v>
      </c>
      <c r="HO37" s="1270">
        <v>6.75</v>
      </c>
      <c r="HP37" s="1270">
        <v>2</v>
      </c>
      <c r="HQ37" s="1273" t="s">
        <v>116</v>
      </c>
      <c r="HR37" s="1270" t="s">
        <v>116</v>
      </c>
      <c r="HS37" s="1270" t="s">
        <v>116</v>
      </c>
      <c r="HT37" s="1270">
        <v>0</v>
      </c>
      <c r="HU37" s="1270">
        <v>2.25</v>
      </c>
      <c r="HV37" s="1270">
        <v>0</v>
      </c>
      <c r="HW37" s="1272">
        <v>2</v>
      </c>
      <c r="HX37" s="1272">
        <v>4</v>
      </c>
      <c r="HY37" s="1272" t="s">
        <v>116</v>
      </c>
      <c r="HZ37" s="1272" t="s">
        <v>116</v>
      </c>
      <c r="IA37" s="1272" t="s">
        <v>1684</v>
      </c>
      <c r="IB37" s="1272"/>
      <c r="IC37" s="1272"/>
      <c r="ID37" s="1272"/>
      <c r="IE37" s="1272"/>
      <c r="IF37" s="1274"/>
    </row>
    <row r="38" spans="1:240" ht="12.6" customHeight="1" x14ac:dyDescent="0.25">
      <c r="A38" s="1448" t="s">
        <v>1494</v>
      </c>
      <c r="B38" s="1681">
        <v>2</v>
      </c>
      <c r="C38" s="1449" t="s">
        <v>1592</v>
      </c>
      <c r="D38" s="1705">
        <v>40</v>
      </c>
      <c r="E38" s="1706">
        <v>0</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7"/>
        <v/>
      </c>
      <c r="O38" s="1709" t="str">
        <f t="shared" si="8"/>
        <v/>
      </c>
      <c r="P38" s="1710" t="str">
        <f t="shared" si="9"/>
        <v/>
      </c>
      <c r="Q38" s="1705" t="str">
        <f t="shared" si="10"/>
        <v/>
      </c>
      <c r="R38" s="1709" t="str">
        <f t="shared" si="11"/>
        <v/>
      </c>
      <c r="S38" s="1711" t="str">
        <f t="shared" si="12"/>
        <v/>
      </c>
      <c r="T38" s="1714">
        <v>0</v>
      </c>
      <c r="U38" s="1709">
        <v>2.25</v>
      </c>
      <c r="V38" s="1705">
        <v>0</v>
      </c>
      <c r="W38" s="1709">
        <v>2</v>
      </c>
      <c r="X38" s="1713">
        <v>4</v>
      </c>
      <c r="Y38" s="1781" t="str">
        <f t="shared" si="13"/>
        <v/>
      </c>
      <c r="Z38" s="1782" t="str">
        <f t="shared" si="14"/>
        <v/>
      </c>
      <c r="AA38" s="1783" t="s">
        <v>1768</v>
      </c>
      <c r="AB38" s="1413"/>
      <c r="AC38" s="964" t="b">
        <v>0</v>
      </c>
      <c r="AD38" s="441">
        <f t="shared" si="15"/>
        <v>0</v>
      </c>
      <c r="AE38" s="442">
        <f t="shared" si="16"/>
        <v>2</v>
      </c>
      <c r="AF38" s="442">
        <f t="shared" si="17"/>
        <v>0</v>
      </c>
      <c r="AG38" s="442">
        <f t="shared" si="18"/>
        <v>0</v>
      </c>
      <c r="AH38" s="443">
        <f t="shared" si="19"/>
        <v>0</v>
      </c>
      <c r="AI38" s="444" t="b">
        <v>0</v>
      </c>
      <c r="AJ38" s="238">
        <f t="shared" si="20"/>
        <v>32</v>
      </c>
      <c r="AK38" s="830" t="str">
        <f t="shared" si="21"/>
        <v>LH</v>
      </c>
      <c r="AL38" s="945" t="str">
        <f t="shared" si="22"/>
        <v/>
      </c>
      <c r="AM38" s="830">
        <f t="shared" si="23"/>
        <v>305</v>
      </c>
      <c r="AN38" s="830">
        <f t="shared" si="24"/>
        <v>180</v>
      </c>
      <c r="AO38" s="830" t="str">
        <f t="shared" si="25"/>
        <v/>
      </c>
      <c r="AP38" s="830" t="b">
        <f>IF(ISERROR(AJ38),FALSE,IF(OR(AJ38=0,ISERROR(AL38),ISERROR(AM38),ISERROR(AN38),ISERROR(AO38)),FALSE,IF(AL38&lt;&gt;"",IF(ISERROR(VLOOKUP(SUBSTITUTE(SUBSTITUTE(C38,"R",""),"A",""),TblJoistSize!$A:$A,1,FALSE)),FALSE,TRUE),TRUE)))</f>
        <v>1</v>
      </c>
      <c r="AQ38" s="1038">
        <f t="shared" si="26"/>
        <v>6</v>
      </c>
      <c r="AR38" s="945" t="b">
        <f t="shared" si="27"/>
        <v>1</v>
      </c>
      <c r="AS38" s="1038">
        <f t="shared" si="28"/>
        <v>6</v>
      </c>
      <c r="AT38" s="945" t="b">
        <f t="shared" si="29"/>
        <v>1</v>
      </c>
      <c r="AU38" s="946" t="str">
        <f t="shared" si="30"/>
        <v>LH</v>
      </c>
      <c r="AV38" s="830" t="str">
        <f t="shared" si="31"/>
        <v/>
      </c>
      <c r="AW38" s="830" t="str">
        <f t="shared" si="32"/>
        <v>LH</v>
      </c>
      <c r="AX38" s="830" t="str">
        <f t="shared" si="106"/>
        <v>J64</v>
      </c>
      <c r="AY38" s="1039" t="b">
        <f t="shared" si="33"/>
        <v>0</v>
      </c>
      <c r="AZ38" s="856" t="b">
        <f t="shared" si="34"/>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f t="shared" si="47"/>
        <v>5</v>
      </c>
      <c r="CS38" s="751">
        <f t="shared" si="48"/>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str">
        <f t="shared" si="70"/>
        <v>ERR</v>
      </c>
      <c r="EI38" s="856" t="str">
        <f t="shared" si="71"/>
        <v>ERR</v>
      </c>
      <c r="EJ38" s="822" t="str">
        <f t="shared" si="72"/>
        <v/>
      </c>
      <c r="EK38" s="822" t="str">
        <f t="shared" si="72"/>
        <v/>
      </c>
      <c r="EL38" s="1293" t="str">
        <f t="shared" si="73"/>
        <v/>
      </c>
      <c r="EM38" s="822" t="str">
        <f t="shared" si="74"/>
        <v/>
      </c>
      <c r="EN38" s="822" t="str">
        <f t="shared" si="75"/>
        <v/>
      </c>
      <c r="EO38" s="856" t="str">
        <f t="shared" si="76"/>
        <v>ERR</v>
      </c>
      <c r="EP38" s="856" t="str">
        <f t="shared" si="77"/>
        <v>ERR</v>
      </c>
      <c r="EQ38" s="1293" t="str">
        <f t="shared" si="78"/>
        <v/>
      </c>
      <c r="ER38" s="822" t="str">
        <f t="shared" si="78"/>
        <v/>
      </c>
      <c r="ES38" s="822" t="str">
        <f t="shared" si="79"/>
        <v/>
      </c>
      <c r="ET38" s="822" t="str">
        <f t="shared" si="80"/>
        <v/>
      </c>
      <c r="EU38" s="829">
        <f t="shared" si="81"/>
        <v>4</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v>40</v>
      </c>
      <c r="GB38" s="1792">
        <v>0.75</v>
      </c>
      <c r="GC38" s="1793">
        <v>-0.25</v>
      </c>
      <c r="GD38" s="1794">
        <v>-0.5</v>
      </c>
      <c r="GE38" s="1795">
        <f t="shared" si="102"/>
        <v>0</v>
      </c>
      <c r="GF38" s="600" t="str">
        <f t="shared" si="103"/>
        <v>J64</v>
      </c>
      <c r="GG38" s="1130">
        <v>0</v>
      </c>
      <c r="GH38" s="1131">
        <v>0</v>
      </c>
      <c r="GI38" s="1130"/>
      <c r="GJ38" s="1131"/>
      <c r="GK38" s="1638">
        <f t="shared" si="104"/>
        <v>480</v>
      </c>
      <c r="GL38" s="1636">
        <f t="shared" si="105"/>
        <v>480</v>
      </c>
      <c r="GM38" s="1637">
        <f>IF(ABS(GK38-GL38)&gt;='Job Info.'!$L$22,ABS(GK38-GL38),0)</f>
        <v>0</v>
      </c>
      <c r="HA38" s="1269" t="s">
        <v>1494</v>
      </c>
      <c r="HB38" s="1270">
        <v>2</v>
      </c>
      <c r="HC38" s="1270" t="s">
        <v>1592</v>
      </c>
      <c r="HD38" s="1271">
        <v>40</v>
      </c>
      <c r="HE38" s="1272">
        <v>0</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v>
      </c>
      <c r="HX38" s="1272">
        <v>4</v>
      </c>
      <c r="HY38" s="1272" t="s">
        <v>116</v>
      </c>
      <c r="HZ38" s="1272" t="s">
        <v>116</v>
      </c>
      <c r="IA38" s="1272" t="s">
        <v>1685</v>
      </c>
      <c r="IB38" s="1272"/>
      <c r="IC38" s="1272"/>
      <c r="ID38" s="1272"/>
      <c r="IE38" s="1272"/>
      <c r="IF38" s="1274"/>
    </row>
    <row r="39" spans="1:240" ht="12.6" customHeight="1" x14ac:dyDescent="0.25">
      <c r="A39" s="1448" t="s">
        <v>1495</v>
      </c>
      <c r="B39" s="1681">
        <v>1</v>
      </c>
      <c r="C39" s="1449" t="s">
        <v>1592</v>
      </c>
      <c r="D39" s="1705">
        <v>40</v>
      </c>
      <c r="E39" s="1706">
        <v>0</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7"/>
        <v/>
      </c>
      <c r="O39" s="1709" t="str">
        <f t="shared" si="8"/>
        <v/>
      </c>
      <c r="P39" s="1710" t="str">
        <f t="shared" si="9"/>
        <v/>
      </c>
      <c r="Q39" s="1705" t="str">
        <f t="shared" si="10"/>
        <v/>
      </c>
      <c r="R39" s="1709" t="str">
        <f t="shared" si="11"/>
        <v/>
      </c>
      <c r="S39" s="1711" t="str">
        <f t="shared" si="12"/>
        <v/>
      </c>
      <c r="T39" s="1714">
        <v>0</v>
      </c>
      <c r="U39" s="1709">
        <v>2.25</v>
      </c>
      <c r="V39" s="1705">
        <v>0</v>
      </c>
      <c r="W39" s="1709">
        <v>2</v>
      </c>
      <c r="X39" s="1713">
        <v>4</v>
      </c>
      <c r="Y39" s="1781" t="str">
        <f t="shared" si="13"/>
        <v/>
      </c>
      <c r="Z39" s="1782" t="str">
        <f t="shared" si="14"/>
        <v/>
      </c>
      <c r="AA39" s="1783" t="s">
        <v>1769</v>
      </c>
      <c r="AB39" s="1413"/>
      <c r="AC39" s="964" t="b">
        <v>0</v>
      </c>
      <c r="AD39" s="441">
        <f t="shared" si="15"/>
        <v>0</v>
      </c>
      <c r="AE39" s="442">
        <f t="shared" si="16"/>
        <v>1</v>
      </c>
      <c r="AF39" s="442">
        <f t="shared" si="17"/>
        <v>0</v>
      </c>
      <c r="AG39" s="442">
        <f t="shared" si="18"/>
        <v>0</v>
      </c>
      <c r="AH39" s="443">
        <f t="shared" si="19"/>
        <v>0</v>
      </c>
      <c r="AI39" s="444" t="b">
        <v>0</v>
      </c>
      <c r="AJ39" s="238">
        <f t="shared" si="20"/>
        <v>32</v>
      </c>
      <c r="AK39" s="830" t="str">
        <f t="shared" si="21"/>
        <v>LH</v>
      </c>
      <c r="AL39" s="945" t="str">
        <f t="shared" si="22"/>
        <v/>
      </c>
      <c r="AM39" s="830">
        <f t="shared" si="23"/>
        <v>305</v>
      </c>
      <c r="AN39" s="830">
        <f t="shared" si="24"/>
        <v>180</v>
      </c>
      <c r="AO39" s="830" t="str">
        <f t="shared" si="25"/>
        <v/>
      </c>
      <c r="AP39" s="830" t="b">
        <f>IF(ISERROR(AJ39),FALSE,IF(OR(AJ39=0,ISERROR(AL39),ISERROR(AM39),ISERROR(AN39),ISERROR(AO39)),FALSE,IF(AL39&lt;&gt;"",IF(ISERROR(VLOOKUP(SUBSTITUTE(SUBSTITUTE(C39,"R",""),"A",""),TblJoistSize!$A:$A,1,FALSE)),FALSE,TRUE),TRUE)))</f>
        <v>1</v>
      </c>
      <c r="AQ39" s="1038">
        <f t="shared" si="26"/>
        <v>6</v>
      </c>
      <c r="AR39" s="945" t="b">
        <f t="shared" si="27"/>
        <v>1</v>
      </c>
      <c r="AS39" s="1038">
        <f t="shared" si="28"/>
        <v>6</v>
      </c>
      <c r="AT39" s="945" t="b">
        <f t="shared" si="29"/>
        <v>1</v>
      </c>
      <c r="AU39" s="946" t="str">
        <f t="shared" si="30"/>
        <v>LH</v>
      </c>
      <c r="AV39" s="830" t="str">
        <f t="shared" si="31"/>
        <v/>
      </c>
      <c r="AW39" s="830" t="str">
        <f t="shared" si="32"/>
        <v>LH</v>
      </c>
      <c r="AX39" s="830" t="str">
        <f t="shared" si="106"/>
        <v>J65</v>
      </c>
      <c r="AY39" s="1039" t="b">
        <f t="shared" si="33"/>
        <v>0</v>
      </c>
      <c r="AZ39" s="856" t="b">
        <f t="shared" si="34"/>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f t="shared" si="47"/>
        <v>5</v>
      </c>
      <c r="CS39" s="751">
        <f t="shared" si="48"/>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str">
        <f t="shared" si="70"/>
        <v>ERR</v>
      </c>
      <c r="EI39" s="856" t="str">
        <f t="shared" si="71"/>
        <v>ERR</v>
      </c>
      <c r="EJ39" s="822" t="str">
        <f t="shared" si="72"/>
        <v/>
      </c>
      <c r="EK39" s="822" t="str">
        <f t="shared" si="72"/>
        <v/>
      </c>
      <c r="EL39" s="1293" t="str">
        <f t="shared" si="73"/>
        <v/>
      </c>
      <c r="EM39" s="822" t="str">
        <f t="shared" si="74"/>
        <v/>
      </c>
      <c r="EN39" s="822" t="str">
        <f t="shared" si="75"/>
        <v/>
      </c>
      <c r="EO39" s="856" t="str">
        <f t="shared" si="76"/>
        <v>ERR</v>
      </c>
      <c r="EP39" s="856" t="str">
        <f t="shared" si="77"/>
        <v>ERR</v>
      </c>
      <c r="EQ39" s="1293" t="str">
        <f t="shared" si="78"/>
        <v/>
      </c>
      <c r="ER39" s="822" t="str">
        <f t="shared" si="78"/>
        <v/>
      </c>
      <c r="ES39" s="822" t="str">
        <f t="shared" si="79"/>
        <v/>
      </c>
      <c r="ET39" s="822" t="str">
        <f t="shared" si="80"/>
        <v/>
      </c>
      <c r="EU39" s="829">
        <f t="shared" si="81"/>
        <v>4</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v>40</v>
      </c>
      <c r="GB39" s="1792">
        <v>0.75</v>
      </c>
      <c r="GC39" s="1793">
        <v>-0.25</v>
      </c>
      <c r="GD39" s="1794">
        <v>-0.5</v>
      </c>
      <c r="GE39" s="1795">
        <f t="shared" si="102"/>
        <v>0</v>
      </c>
      <c r="GF39" s="600" t="str">
        <f t="shared" si="103"/>
        <v>J65</v>
      </c>
      <c r="GG39" s="1130">
        <v>0</v>
      </c>
      <c r="GH39" s="1131">
        <v>0</v>
      </c>
      <c r="GI39" s="1130"/>
      <c r="GJ39" s="1131"/>
      <c r="GK39" s="1638">
        <f t="shared" si="104"/>
        <v>480</v>
      </c>
      <c r="GL39" s="1636">
        <f t="shared" si="105"/>
        <v>480</v>
      </c>
      <c r="GM39" s="1637">
        <f>IF(ABS(GK39-GL39)&gt;='Job Info.'!$L$22,ABS(GK39-GL39),0)</f>
        <v>0</v>
      </c>
      <c r="HA39" s="1269" t="s">
        <v>1495</v>
      </c>
      <c r="HB39" s="1270">
        <v>1</v>
      </c>
      <c r="HC39" s="1270" t="s">
        <v>1592</v>
      </c>
      <c r="HD39" s="1271">
        <v>40</v>
      </c>
      <c r="HE39" s="1272">
        <v>0</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v>
      </c>
      <c r="HX39" s="1272">
        <v>4</v>
      </c>
      <c r="HY39" s="1272" t="s">
        <v>116</v>
      </c>
      <c r="HZ39" s="1272" t="s">
        <v>116</v>
      </c>
      <c r="IA39" s="1272" t="s">
        <v>1686</v>
      </c>
      <c r="IB39" s="1272"/>
      <c r="IC39" s="1272"/>
      <c r="ID39" s="1272"/>
      <c r="IE39" s="1272"/>
      <c r="IF39" s="1274"/>
    </row>
    <row r="40" spans="1:240" ht="12.6" customHeight="1" x14ac:dyDescent="0.25">
      <c r="A40" s="1448" t="s">
        <v>1496</v>
      </c>
      <c r="B40" s="1681">
        <v>1</v>
      </c>
      <c r="C40" s="1449" t="s">
        <v>1592</v>
      </c>
      <c r="D40" s="1705">
        <v>40</v>
      </c>
      <c r="E40" s="1706">
        <v>0</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7"/>
        <v/>
      </c>
      <c r="O40" s="1709" t="str">
        <f t="shared" si="8"/>
        <v/>
      </c>
      <c r="P40" s="1710" t="str">
        <f t="shared" si="9"/>
        <v/>
      </c>
      <c r="Q40" s="1705" t="str">
        <f t="shared" si="10"/>
        <v/>
      </c>
      <c r="R40" s="1709" t="str">
        <f t="shared" si="11"/>
        <v/>
      </c>
      <c r="S40" s="1711" t="str">
        <f t="shared" si="12"/>
        <v/>
      </c>
      <c r="T40" s="1714">
        <v>0</v>
      </c>
      <c r="U40" s="1709">
        <v>2.25</v>
      </c>
      <c r="V40" s="1705">
        <v>0</v>
      </c>
      <c r="W40" s="1709">
        <v>2</v>
      </c>
      <c r="X40" s="1713">
        <v>4</v>
      </c>
      <c r="Y40" s="1781" t="str">
        <f t="shared" si="13"/>
        <v/>
      </c>
      <c r="Z40" s="1782" t="str">
        <f t="shared" si="14"/>
        <v/>
      </c>
      <c r="AA40" s="1783" t="s">
        <v>1770</v>
      </c>
      <c r="AB40" s="1413"/>
      <c r="AC40" s="964" t="b">
        <v>0</v>
      </c>
      <c r="AD40" s="441">
        <f t="shared" si="15"/>
        <v>0</v>
      </c>
      <c r="AE40" s="442">
        <f t="shared" si="16"/>
        <v>1</v>
      </c>
      <c r="AF40" s="442">
        <f t="shared" si="17"/>
        <v>0</v>
      </c>
      <c r="AG40" s="442">
        <f t="shared" si="18"/>
        <v>0</v>
      </c>
      <c r="AH40" s="443">
        <f t="shared" si="19"/>
        <v>0</v>
      </c>
      <c r="AI40" s="444" t="b">
        <v>0</v>
      </c>
      <c r="AJ40" s="238">
        <f t="shared" si="20"/>
        <v>32</v>
      </c>
      <c r="AK40" s="830" t="str">
        <f t="shared" si="21"/>
        <v>LH</v>
      </c>
      <c r="AL40" s="945" t="str">
        <f t="shared" si="22"/>
        <v/>
      </c>
      <c r="AM40" s="830">
        <f t="shared" si="23"/>
        <v>305</v>
      </c>
      <c r="AN40" s="830">
        <f t="shared" si="24"/>
        <v>180</v>
      </c>
      <c r="AO40" s="830" t="str">
        <f t="shared" si="25"/>
        <v/>
      </c>
      <c r="AP40" s="830" t="b">
        <f>IF(ISERROR(AJ40),FALSE,IF(OR(AJ40=0,ISERROR(AL40),ISERROR(AM40),ISERROR(AN40),ISERROR(AO40)),FALSE,IF(AL40&lt;&gt;"",IF(ISERROR(VLOOKUP(SUBSTITUTE(SUBSTITUTE(C40,"R",""),"A",""),TblJoistSize!$A:$A,1,FALSE)),FALSE,TRUE),TRUE)))</f>
        <v>1</v>
      </c>
      <c r="AQ40" s="1038">
        <f t="shared" si="26"/>
        <v>6</v>
      </c>
      <c r="AR40" s="945" t="b">
        <f t="shared" si="27"/>
        <v>1</v>
      </c>
      <c r="AS40" s="1038">
        <f t="shared" si="28"/>
        <v>6</v>
      </c>
      <c r="AT40" s="945" t="b">
        <f t="shared" si="29"/>
        <v>1</v>
      </c>
      <c r="AU40" s="946" t="str">
        <f t="shared" si="30"/>
        <v>LH</v>
      </c>
      <c r="AV40" s="830" t="str">
        <f t="shared" si="31"/>
        <v/>
      </c>
      <c r="AW40" s="830" t="str">
        <f t="shared" si="32"/>
        <v>LH</v>
      </c>
      <c r="AX40" s="830" t="str">
        <f t="shared" si="106"/>
        <v>J66</v>
      </c>
      <c r="AY40" s="1039" t="b">
        <f t="shared" si="33"/>
        <v>0</v>
      </c>
      <c r="AZ40" s="856" t="b">
        <f t="shared" si="34"/>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f t="shared" si="47"/>
        <v>5</v>
      </c>
      <c r="CS40" s="751">
        <f t="shared" si="48"/>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str">
        <f t="shared" si="70"/>
        <v>ERR</v>
      </c>
      <c r="EI40" s="856" t="str">
        <f t="shared" si="71"/>
        <v>ERR</v>
      </c>
      <c r="EJ40" s="822" t="str">
        <f t="shared" si="72"/>
        <v/>
      </c>
      <c r="EK40" s="822" t="str">
        <f t="shared" si="72"/>
        <v/>
      </c>
      <c r="EL40" s="1293" t="str">
        <f t="shared" si="73"/>
        <v/>
      </c>
      <c r="EM40" s="822" t="str">
        <f t="shared" si="74"/>
        <v/>
      </c>
      <c r="EN40" s="822" t="str">
        <f t="shared" si="75"/>
        <v/>
      </c>
      <c r="EO40" s="856" t="str">
        <f t="shared" si="76"/>
        <v>ERR</v>
      </c>
      <c r="EP40" s="856" t="str">
        <f t="shared" si="77"/>
        <v>ERR</v>
      </c>
      <c r="EQ40" s="1293" t="str">
        <f t="shared" si="78"/>
        <v/>
      </c>
      <c r="ER40" s="822" t="str">
        <f t="shared" si="78"/>
        <v/>
      </c>
      <c r="ES40" s="822" t="str">
        <f t="shared" si="79"/>
        <v/>
      </c>
      <c r="ET40" s="822" t="str">
        <f t="shared" si="80"/>
        <v/>
      </c>
      <c r="EU40" s="829">
        <f t="shared" si="81"/>
        <v>4</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v>40</v>
      </c>
      <c r="GB40" s="1792">
        <v>0.75</v>
      </c>
      <c r="GC40" s="1793">
        <v>-0.25</v>
      </c>
      <c r="GD40" s="1794">
        <v>-0.5</v>
      </c>
      <c r="GE40" s="1795">
        <f t="shared" si="102"/>
        <v>0</v>
      </c>
      <c r="GF40" s="600" t="str">
        <f t="shared" si="103"/>
        <v>J66</v>
      </c>
      <c r="GG40" s="1130">
        <v>0</v>
      </c>
      <c r="GH40" s="1131">
        <v>0</v>
      </c>
      <c r="GI40" s="1130"/>
      <c r="GJ40" s="1131"/>
      <c r="GK40" s="1638">
        <f t="shared" si="104"/>
        <v>480</v>
      </c>
      <c r="GL40" s="1636">
        <f t="shared" si="105"/>
        <v>480</v>
      </c>
      <c r="GM40" s="1637">
        <f>IF(ABS(GK40-GL40)&gt;='Job Info.'!$L$22,ABS(GK40-GL40),0)</f>
        <v>0</v>
      </c>
      <c r="HA40" s="1269" t="s">
        <v>1496</v>
      </c>
      <c r="HB40" s="1270">
        <v>1</v>
      </c>
      <c r="HC40" s="1270" t="s">
        <v>1592</v>
      </c>
      <c r="HD40" s="1271">
        <v>40</v>
      </c>
      <c r="HE40" s="1272">
        <v>0</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v>
      </c>
      <c r="HX40" s="1272">
        <v>4</v>
      </c>
      <c r="HY40" s="1272" t="s">
        <v>116</v>
      </c>
      <c r="HZ40" s="1272" t="s">
        <v>116</v>
      </c>
      <c r="IA40" s="1272" t="s">
        <v>1687</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217</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217</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1679</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cjU5g5TJtlQkYBHnTKTrSSIXZLGqse5HLEW1t2oEdYsM5ctDINnnNgidKGTlt+pBOTlo6f+iN63c0xqwuMpJuw==" saltValue="z38hPVk86b7LkbEhEZVKjQ=="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353" priority="53" stopIfTrue="1" operator="notEqual">
      <formula>$EG57</formula>
    </cfRule>
  </conditionalFormatting>
  <conditionalFormatting sqref="EM57">
    <cfRule type="cellIs" dxfId="352" priority="54" stopIfTrue="1" operator="notEqual">
      <formula>$EN57</formula>
    </cfRule>
  </conditionalFormatting>
  <conditionalFormatting sqref="P2:S4">
    <cfRule type="cellIs" dxfId="351" priority="56" stopIfTrue="1" operator="equal">
      <formula>""</formula>
    </cfRule>
  </conditionalFormatting>
  <conditionalFormatting sqref="EF16:EF45">
    <cfRule type="cellIs" dxfId="350" priority="52" stopIfTrue="1" operator="notEqual">
      <formula>$EG16</formula>
    </cfRule>
  </conditionalFormatting>
  <conditionalFormatting sqref="CC7">
    <cfRule type="expression" dxfId="349" priority="51" stopIfTrue="1">
      <formula>ISBLANK($CC$7)</formula>
    </cfRule>
  </conditionalFormatting>
  <conditionalFormatting sqref="CC6">
    <cfRule type="expression" dxfId="348" priority="50" stopIfTrue="1">
      <formula>ISBLANK($CC$6)</formula>
    </cfRule>
  </conditionalFormatting>
  <conditionalFormatting sqref="M7">
    <cfRule type="expression" dxfId="347" priority="48" stopIfTrue="1">
      <formula>OR(ISBLANK($M$7),$M$7="")</formula>
    </cfRule>
    <cfRule type="expression" dxfId="346" priority="49" stopIfTrue="1">
      <formula>NOT(OR(COUNTIF(masterFinishList, $M$7) &gt; 0, COUNTIF($M$7, "Other:*") &gt; 0))</formula>
    </cfRule>
  </conditionalFormatting>
  <conditionalFormatting sqref="BD16:BD45">
    <cfRule type="expression" dxfId="345" priority="47">
      <formula>AND(NOT($AY16),NOT($AP16))</formula>
    </cfRule>
  </conditionalFormatting>
  <conditionalFormatting sqref="C16:C45">
    <cfRule type="expression" dxfId="344" priority="45">
      <formula>AND(NOT($AY16),NOT($AP16))</formula>
    </cfRule>
  </conditionalFormatting>
  <conditionalFormatting sqref="X16:X45">
    <cfRule type="expression" dxfId="343" priority="28">
      <formula>$X16=0</formula>
    </cfRule>
  </conditionalFormatting>
  <conditionalFormatting sqref="CG16:CG45">
    <cfRule type="expression" dxfId="342" priority="55">
      <formula>OR(CH16&lt;&gt;"",CI16&lt;&gt;"",CJ16&lt;&gt;"",CK16&lt;&gt;"",CL16&lt;&gt;"",CM16&lt;&gt;"",CP16&lt;&gt;"",CQ16&lt;&gt;"")</formula>
    </cfRule>
  </conditionalFormatting>
  <conditionalFormatting sqref="BE16:BF45">
    <cfRule type="expression" dxfId="341" priority="57">
      <formula>AND(NOT($AY16),AND($AZ16,AND($AK16&lt;&gt;"HDR",$AK16&lt;&gt;"JS",$AJ16&gt;=8)))</formula>
    </cfRule>
  </conditionalFormatting>
  <conditionalFormatting sqref="D16:E45">
    <cfRule type="expression" dxfId="340" priority="46">
      <formula>AND(NOT($AY16),AND($AZ16,AND($AK16&lt;&gt;"HDR",$AK16&lt;&gt;"JS",$AJ16&gt;=8)))</formula>
    </cfRule>
    <cfRule type="expression" dxfId="339" priority="80" stopIfTrue="1">
      <formula xml:space="preserve"> AND($GM16 &gt;= 0.125, $GL16 &gt; 0)</formula>
    </cfRule>
  </conditionalFormatting>
  <conditionalFormatting sqref="AA12">
    <cfRule type="expression" dxfId="338" priority="44">
      <formula>OR(ISBLANK(AA12),AA12="")</formula>
    </cfRule>
  </conditionalFormatting>
  <conditionalFormatting sqref="A16:S45 X16:AA45 BB16:CD45">
    <cfRule type="expression" dxfId="337" priority="58">
      <formula>$AC16</formula>
    </cfRule>
  </conditionalFormatting>
  <conditionalFormatting sqref="BG16:BG45">
    <cfRule type="expression" dxfId="336" priority="29">
      <formula>AND(NOT($AY16),ISERROR(CU16))</formula>
    </cfRule>
    <cfRule type="expression" dxfId="335" priority="42">
      <formula>AND(NOT($AY16),OR(CP16&lt;&gt;"", CU16=""))</formula>
    </cfRule>
  </conditionalFormatting>
  <conditionalFormatting sqref="BH16:BH45">
    <cfRule type="expression" dxfId="334" priority="36">
      <formula>AND(NOT($AY16),OR($CU16="M",$CU16="C",AND($CU16="B",$DC16&gt;0)))</formula>
    </cfRule>
    <cfRule type="expression" dxfId="333" priority="37">
      <formula>AND(NOT($AY16),AND(BH16="",BI16="",OR($CU16="B",$CU16="G")))</formula>
    </cfRule>
    <cfRule type="expression" dxfId="332" priority="38">
      <formula>AND(NOT($AY16),(BH16/2)/COS(RADIANS(BM16))+CV16-DW16&lt;VLOOKUP(AU16,$DF$2:$DJ$9,5,FALSE))</formula>
    </cfRule>
  </conditionalFormatting>
  <conditionalFormatting sqref="BI16:BI45">
    <cfRule type="expression" dxfId="331" priority="39">
      <formula>AND(NOT($AY16),OR($CU16="M",$CU16="C",AND($CU16="B",$DC16&gt;0)))</formula>
    </cfRule>
    <cfRule type="expression" dxfId="330" priority="40">
      <formula>AND(NOT($AY16),AND(BH16="",BI16="",OR($CU16="B",$CU16="G")))</formula>
    </cfRule>
    <cfRule type="expression" dxfId="329" priority="41">
      <formula>AND(NOT($AY16),(BI16/2)/COS(RADIANS(BM16))+CV16-DW16&lt;VLOOKUP(AU16,$DF$2:$DJ$9,5,FALSE))</formula>
    </cfRule>
  </conditionalFormatting>
  <conditionalFormatting sqref="BK16:BK45">
    <cfRule type="expression" dxfId="328" priority="30">
      <formula>AND(NOT($AY16),OR($CU16="M",$CU16="C",AND($CU16="B",$DA16&lt;&gt;"")))</formula>
    </cfRule>
    <cfRule type="expression" dxfId="327" priority="31">
      <formula>AND(NOT($AY16),AND(BJ16="X",BK16="",BL16=""))</formula>
    </cfRule>
    <cfRule type="expression" dxfId="326" priority="32">
      <formula>AND(NOT($AY16),EZ16="ERR")</formula>
    </cfRule>
  </conditionalFormatting>
  <conditionalFormatting sqref="BL16:BL45">
    <cfRule type="expression" dxfId="325" priority="33">
      <formula>AND(NOT($AY16),OR($CU16="M",$CU16="C",AND($CU16="B",$DA16&lt;&gt;"")))</formula>
    </cfRule>
    <cfRule type="expression" dxfId="324" priority="34">
      <formula>AND(NOT($AY16),AND(BJ16="X",BK16="",BL16=""))</formula>
    </cfRule>
    <cfRule type="expression" dxfId="323" priority="35">
      <formula>AND(NOT($AY16),EZ16="ERR")</formula>
    </cfRule>
  </conditionalFormatting>
  <conditionalFormatting sqref="A16:B45 BB16:BC45">
    <cfRule type="expression" dxfId="322" priority="43">
      <formula>AND(NOT($AE$1),$B16=0,$AD$1="M")</formula>
    </cfRule>
  </conditionalFormatting>
  <conditionalFormatting sqref="AA16:AA45">
    <cfRule type="expression" dxfId="321" priority="27">
      <formula>AND(NOT($AY16),LEN(AA16)&gt;31)</formula>
    </cfRule>
  </conditionalFormatting>
  <conditionalFormatting sqref="GA16:GB45">
    <cfRule type="expression" dxfId="320" priority="26" stopIfTrue="1">
      <formula>$GM16&gt;=0.125</formula>
    </cfRule>
  </conditionalFormatting>
  <conditionalFormatting sqref="BO16:BO45">
    <cfRule type="expression" dxfId="319" priority="21">
      <formula>AND(BO16="X",CY16="")</formula>
    </cfRule>
    <cfRule type="expression" dxfId="318" priority="22">
      <formula>AND(BO16="",CY16&lt;&gt;"")</formula>
    </cfRule>
  </conditionalFormatting>
  <conditionalFormatting sqref="CA16:CA45">
    <cfRule type="expression" dxfId="317" priority="23">
      <formula>AND(CA16="X",DI16="")</formula>
    </cfRule>
    <cfRule type="expression" dxfId="316" priority="24">
      <formula>AND(CA16="",DI16&lt;&gt;"")</formula>
    </cfRule>
  </conditionalFormatting>
  <conditionalFormatting sqref="CE16:CG45">
    <cfRule type="expression" dxfId="315" priority="25">
      <formula>$AC16</formula>
    </cfRule>
  </conditionalFormatting>
  <conditionalFormatting sqref="EM16:EM45">
    <cfRule type="cellIs" dxfId="314" priority="20" stopIfTrue="1" operator="notEqual">
      <formula>$EN16</formula>
    </cfRule>
  </conditionalFormatting>
  <conditionalFormatting sqref="U16:U45">
    <cfRule type="expression" dxfId="313" priority="16">
      <formula>AND(NOT($AY16),NOT(AR16),$P16&lt;&gt;3)</formula>
    </cfRule>
  </conditionalFormatting>
  <conditionalFormatting sqref="W16:W45">
    <cfRule type="expression" dxfId="312" priority="18">
      <formula>AND(NOT($AY16),NOT(AT16),$S16&lt;&gt;3)</formula>
    </cfRule>
  </conditionalFormatting>
  <conditionalFormatting sqref="T16:T45">
    <cfRule type="expression" dxfId="311" priority="15">
      <formula>AND(NOT($AY16),NOT(AR16),$P16&lt;&gt;3)</formula>
    </cfRule>
  </conditionalFormatting>
  <conditionalFormatting sqref="V16:V45">
    <cfRule type="expression" dxfId="310" priority="17">
      <formula>AND(NOT($AY16),NOT(AT16),$S16&lt;&gt;3)</formula>
    </cfRule>
  </conditionalFormatting>
  <conditionalFormatting sqref="T16:W45">
    <cfRule type="expression" dxfId="309" priority="19">
      <formula>$AC16</formula>
    </cfRule>
  </conditionalFormatting>
  <conditionalFormatting sqref="C57">
    <cfRule type="expression" dxfId="308" priority="12">
      <formula>AND(NOT($AY57),NOT($AP57))</formula>
    </cfRule>
  </conditionalFormatting>
  <conditionalFormatting sqref="X57">
    <cfRule type="expression" dxfId="307" priority="10">
      <formula>$X57=0</formula>
    </cfRule>
  </conditionalFormatting>
  <conditionalFormatting sqref="D57:E57">
    <cfRule type="expression" dxfId="306" priority="13">
      <formula>AND(NOT($AY57),AND($AZ57,AND($AK57&lt;&gt;"HDR",$AK57&lt;&gt;"JS",$AJ57&gt;=8)))</formula>
    </cfRule>
  </conditionalFormatting>
  <conditionalFormatting sqref="A57:S57 X57:AA57">
    <cfRule type="expression" dxfId="305" priority="14">
      <formula>$AC57</formula>
    </cfRule>
  </conditionalFormatting>
  <conditionalFormatting sqref="A57:B57">
    <cfRule type="expression" dxfId="304" priority="11">
      <formula>AND(NOT($AE$1),$B57=0,$AD$1="M")</formula>
    </cfRule>
  </conditionalFormatting>
  <conditionalFormatting sqref="AA57">
    <cfRule type="expression" dxfId="303" priority="9">
      <formula>AND(NOT($AY57),LEN(AA57)&gt;31)</formula>
    </cfRule>
  </conditionalFormatting>
  <conditionalFormatting sqref="U57">
    <cfRule type="expression" dxfId="302" priority="5">
      <formula>AND(NOT($AY57),NOT(AR57),$P57&lt;&gt;3)</formula>
    </cfRule>
  </conditionalFormatting>
  <conditionalFormatting sqref="W57">
    <cfRule type="expression" dxfId="301" priority="7">
      <formula>AND(NOT($AY57),NOT(AT57),$S57&lt;&gt;3)</formula>
    </cfRule>
  </conditionalFormatting>
  <conditionalFormatting sqref="T57">
    <cfRule type="expression" dxfId="300" priority="4">
      <formula>AND(NOT($AY57),NOT(AR57),$P57&lt;&gt;3)</formula>
    </cfRule>
  </conditionalFormatting>
  <conditionalFormatting sqref="V57">
    <cfRule type="expression" dxfId="299" priority="6">
      <formula>AND(NOT($AY57),NOT(AT57),$S57&lt;&gt;3)</formula>
    </cfRule>
  </conditionalFormatting>
  <conditionalFormatting sqref="T57:W57">
    <cfRule type="expression" dxfId="298" priority="8">
      <formula>$AC57</formula>
    </cfRule>
  </conditionalFormatting>
  <conditionalFormatting sqref="BQ16:BQ45">
    <cfRule type="expression" dxfId="297" priority="3">
      <formula>CP16&lt;&gt;""</formula>
    </cfRule>
  </conditionalFormatting>
  <conditionalFormatting sqref="CC16:CC45">
    <cfRule type="expression" dxfId="296" priority="2">
      <formula>CQ16&lt;&gt;""</formula>
    </cfRule>
  </conditionalFormatting>
  <conditionalFormatting sqref="BS16:BS45">
    <cfRule type="expression" dxfId="295" priority="59">
      <formula>AND(NOT($AY16),ISERROR(DE16))</formula>
    </cfRule>
    <cfRule type="expression" dxfId="294" priority="60">
      <formula>AND(NOT($AY16),OR(DE16="", CQ16&lt;&gt;""))</formula>
    </cfRule>
  </conditionalFormatting>
  <conditionalFormatting sqref="BW16:BW45">
    <cfRule type="expression" dxfId="293" priority="61">
      <formula>AND(NOT($AY16),OR($DE16="M",$DE16="C",AND($DE16="B",$DK16&lt;&gt;"")))</formula>
    </cfRule>
    <cfRule type="expression" dxfId="292" priority="62">
      <formula>AND(NOT($AY16),AND(BV16="X",BW16="",BX16=""))</formula>
    </cfRule>
    <cfRule type="expression" dxfId="291" priority="63">
      <formula>AND(NOT($AY16),FC16="ERR")</formula>
    </cfRule>
  </conditionalFormatting>
  <conditionalFormatting sqref="BX16:BX45">
    <cfRule type="expression" dxfId="290" priority="64">
      <formula>AND(NOT($AY16),OR($DE16="M",$DE16="C",AND($DE16="B",$DK16&lt;&gt;"")))</formula>
    </cfRule>
    <cfRule type="expression" dxfId="289" priority="65">
      <formula>AND(NOT($AY16),AND(BV16="X",BW16="",BX16=""))</formula>
    </cfRule>
    <cfRule type="expression" dxfId="288" priority="66">
      <formula>AND(NOT($AY16),FC16="ERR")</formula>
    </cfRule>
  </conditionalFormatting>
  <conditionalFormatting sqref="BT16:BT45">
    <cfRule type="expression" dxfId="287" priority="67">
      <formula>AND(NOT($AY16),OR($DE16="M",$DE16="C",AND($DE16="B",$DM16&gt;0)))</formula>
    </cfRule>
    <cfRule type="expression" dxfId="286" priority="68">
      <formula>AND(NOT($AY16),AND(BT16="",BU16="",OR($DE16="B",$DE16="G")))</formula>
    </cfRule>
    <cfRule type="expression" dxfId="285" priority="69">
      <formula>AND(NOT($AY16),(BT16/2)/COS(RADIANS(BY16))+DF16-EC16&lt;VLOOKUP(AU16,$DF$2:$DJ$9,5,FALSE))</formula>
    </cfRule>
  </conditionalFormatting>
  <conditionalFormatting sqref="BU16:BU45">
    <cfRule type="expression" dxfId="284" priority="70">
      <formula>AND(NOT($AY16),OR($DE16="M",$DE16="C",AND($DE16="B",$DM16&gt;0)))</formula>
    </cfRule>
    <cfRule type="expression" dxfId="283" priority="71">
      <formula>AND(NOT($AY16),AND(BT16="",BU16="",OR($DE16="B",$DE16="G")))</formula>
    </cfRule>
    <cfRule type="expression" dxfId="282" priority="72">
      <formula>AND(NOT($AY16),(BU16/2)/COS(RADIANS(BY16))+DF16-EC16&lt;VLOOKUP(AU16,$DF$2:$DJ$9,5,FALSE))</formula>
    </cfRule>
  </conditionalFormatting>
  <conditionalFormatting sqref="BZ16:BZ45 BN16:BN45">
    <cfRule type="expression" dxfId="281" priority="73">
      <formula>AND(NOT($AY16),AND(ISBLANK(BN16),AND(NOT(ISBLANK(BM16)),$CE16&lt;&gt;0)))</formula>
    </cfRule>
  </conditionalFormatting>
  <conditionalFormatting sqref="BJ16:BJ45">
    <cfRule type="expression" dxfId="280" priority="74">
      <formula>AND(NOT($AY16),OR($CU16="C",AND($CU16="M",$DA16&gt;0)))</formula>
    </cfRule>
    <cfRule type="expression" dxfId="279" priority="75">
      <formula>AND(NOT($AY16),OR(NOT(IF(AND(OR(MID($BB16,1,1)="T",($BE16+$BF16/12)/IF(ABS($CE16)&gt;$DQ$1,COS($DO16),1)&gt;=40),OR($CU16="B",$CU16="G")),"X","")="X"),$EZ16="ERR"))</formula>
    </cfRule>
    <cfRule type="expression" dxfId="278" priority="76">
      <formula>AND(NOT($AY16),$BJ16&lt;&gt;"X",$BJ16&lt;&gt;IF(AND(OR(MID(BB16,1,1)="T",($BE16+$BF16/12)/IF(ABS($CE16)&gt;$DQ$1,COS($DO16),1)&gt;=40),OR($CU16="B",$CU16="G")),"X",""))</formula>
    </cfRule>
  </conditionalFormatting>
  <conditionalFormatting sqref="BV16:BV45">
    <cfRule type="expression" dxfId="277" priority="77">
      <formula>AND(NOT($AY16),OR($DE16="C",AND($DE16="M",$DK16&gt;0)))</formula>
    </cfRule>
    <cfRule type="expression" dxfId="276" priority="78">
      <formula>AND(NOT($AY16),OR(NOT(IF(AND(OR(MID($BB16,1,1)="T",($BE16+$BF16/12)/IF(ABS($CE16)&gt;$DQ$1,COS($DO16),1)&gt;=40),OR($DE16="B",$DE16="G")),"X","")="X"),$FC16="ERR"))</formula>
    </cfRule>
    <cfRule type="expression" dxfId="275" priority="79">
      <formula>AND(NOT($AY16),$BV16&lt;&gt;"X",$BV16&lt;&gt;IF(AND(OR(MID(BB16,1,1)="T",($BE16+$BF16/12)/IF(ABS($CE16)&gt;$DQ$1,COS($DO16),1)&gt;=40),OR($DE16="B",$DE16="G")),"X",""))</formula>
    </cfRule>
  </conditionalFormatting>
  <conditionalFormatting sqref="GA57:GB57">
    <cfRule type="expression" dxfId="27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F29143D3-2394-46E6-9212-FABB61287337}">
      <formula1>-1001</formula1>
    </dataValidation>
    <dataValidation type="decimal" operator="greaterThan" allowBlank="1" showInputMessage="1" showErrorMessage="1" errorTitle="Input Error" error="Positive Numeric Values Only!" sqref="BR16:BR45 CD16:CD45" xr:uid="{2D358FB8-5997-4D85-B6DA-989D774FB83D}">
      <formula1>0</formula1>
    </dataValidation>
    <dataValidation type="decimal" allowBlank="1" showInputMessage="1" showErrorMessage="1" errorTitle="Input Error" error="Numbers from 0&quot; to 11 7/8&quot; only!" sqref="GB16:GB45 GB57" xr:uid="{9A9CE7A9-2545-4587-B0CC-530A3F56D68C}">
      <formula1>0</formula1>
      <formula2>11.875</formula2>
    </dataValidation>
    <dataValidation type="whole" operator="greaterThanOrEqual" allowBlank="1" showInputMessage="1" showErrorMessage="1" errorTitle="Input Error" error="Positive Integers Only!" sqref="GA16:GA45 GA57" xr:uid="{2E164F68-C328-463E-89BC-D9FF11BA825D}">
      <formula1>0</formula1>
    </dataValidation>
    <dataValidation type="decimal" allowBlank="1" showInputMessage="1" showErrorMessage="1" errorTitle="Input Error" error="Numeric Values Only!" sqref="GC16:GD45 GC57:GD57 BP16:BP45 CB16:CB45" xr:uid="{AEBBA91D-9F49-4765-8C5E-9ECB5AB0CC6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670B7561-8825-47F4-B7F6-C65CE024A544}">
      <formula1>$CV16</formula1>
    </dataValidation>
    <dataValidation type="decimal" operator="lessThanOrEqual" allowBlank="1" showInputMessage="1" errorTitle="BL Over-Ride Error!" error="Base Length can't be past Joist Overall Length!  See section for Maximum Over-Ride Dimension." sqref="CC16:CC45" xr:uid="{16731EAF-3B3D-435E-9F89-AEAE055452F1}">
      <formula1>$DF16</formula1>
    </dataValidation>
    <dataValidation type="whole" operator="greaterThanOrEqual" allowBlank="1" showInputMessage="1" showErrorMessage="1" sqref="B57" xr:uid="{FDAD2D52-CE4C-498B-A0D7-A3DE7867548C}">
      <formula1>0</formula1>
    </dataValidation>
    <dataValidation type="decimal" operator="greaterThan" allowBlank="1" showInputMessage="1" showErrorMessage="1" errorTitle="Dimensional Error" error="Only positive numeric values can be entered here." sqref="L16:M45 L57:M57" xr:uid="{B9A040D0-3C98-4F65-9425-005966B66651}">
      <formula1>0</formula1>
    </dataValidation>
    <dataValidation type="decimal" operator="notEqual" allowBlank="1" showInputMessage="1" showErrorMessage="1" errorTitle="input Error" error="Enter + or - Numbers Only._x000a_Do NOT use &quot;&lt;&quot; or &quot;&gt;&quot;." sqref="Y16:Z45 Y57:Z57" xr:uid="{FA6AF8CE-DE16-4EBA-844A-2048CF2837BC}">
      <formula1>0</formula1>
    </dataValidation>
    <dataValidation type="decimal" operator="greaterThanOrEqual" allowBlank="1" showInputMessage="1" showErrorMessage="1" errorTitle="Dimensional Error" error="&quot;Inches&quot; must be a number." sqref="BH16:BI45 BK16:BL45 BT16:BU45 BW16:BX45" xr:uid="{3C85D257-2E91-4E14-A272-40D0CB0B210D}">
      <formula1>0</formula1>
    </dataValidation>
    <dataValidation type="decimal" allowBlank="1" showInputMessage="1" showErrorMessage="1" errorTitle="Dimensional Error" error="&quot;Inches&quot; must be a number from 0 to 11.875." sqref="BF16:BF45 G16:G45 J16:J45 W16:W45 U16:U45 E16:E45 G57 J57 W57 U57 E57" xr:uid="{69B9B382-48C4-451E-A5BF-4530A5E99DF3}">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B9A3F8A9-4116-4C0D-A24A-AFD69D9D47B4}">
      <formula1>0</formula1>
    </dataValidation>
    <dataValidation type="list" allowBlank="1" showInputMessage="1" sqref="CC6:CF6 M7:S7" xr:uid="{AEE2D10C-2467-4AE3-8841-875820ED776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1152F-9080-4968-A21F-069FB7C33CFA}">
  <sheetPr codeName="Sheet35">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18 of 19</v>
      </c>
      <c r="Z7" s="658"/>
      <c r="AA7" s="374"/>
      <c r="AC7" s="1083">
        <v>18</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1497</v>
      </c>
      <c r="B16" s="1681">
        <v>2</v>
      </c>
      <c r="C16" s="1449" t="s">
        <v>1592</v>
      </c>
      <c r="D16" s="1705">
        <v>39</v>
      </c>
      <c r="E16" s="1706">
        <v>2.25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v>
      </c>
      <c r="X16" s="1713">
        <v>4</v>
      </c>
      <c r="Y16" s="1781" t="str">
        <f t="shared" ref="Y16:Y44" si="13">FG16</f>
        <v/>
      </c>
      <c r="Z16" s="1782" t="str">
        <f t="shared" ref="Z16:Z44" si="14">FL16</f>
        <v/>
      </c>
      <c r="AA16" s="1783" t="s">
        <v>1771</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J67</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39</v>
      </c>
      <c r="GB16" s="1792">
        <v>3</v>
      </c>
      <c r="GC16" s="1793">
        <v>-0.25</v>
      </c>
      <c r="GD16" s="1794">
        <v>-0.5</v>
      </c>
      <c r="GE16" s="1795">
        <f t="shared" ref="GE16:GE45" si="102">IF(GF16="","",IF(ISBLANK(CE16),IF(Y16=Z16,0,MAX(ABS(Y16),ABS(Z16))*IF(Y16&lt;0,-1,1)),CE16))</f>
        <v>0</v>
      </c>
      <c r="GF16" s="600" t="str">
        <f t="shared" ref="GF16:GF45" si="103">IF(A16=0,"",A16)</f>
        <v>J67</v>
      </c>
      <c r="GG16" s="1130">
        <v>0</v>
      </c>
      <c r="GH16" s="1131">
        <v>0</v>
      </c>
      <c r="GI16" s="1130"/>
      <c r="GJ16" s="1131"/>
      <c r="GK16" s="1638">
        <f t="shared" ref="GK16:GK45" si="104">IF(D16="",0,D16*12+E16)</f>
        <v>470.25</v>
      </c>
      <c r="GL16" s="1636">
        <f t="shared" ref="GL16:GL45" si="105">(GA16*12+GB16+GC16+GD16)/COS(ATAN(ABS(GE16/12)))</f>
        <v>470.25</v>
      </c>
      <c r="GM16" s="1637">
        <f>IF(ABS(GK16-GL16)&gt;='Job Info.'!$L$22,ABS(GK16-GL16),0)</f>
        <v>0</v>
      </c>
      <c r="HA16" s="1263" t="s">
        <v>1497</v>
      </c>
      <c r="HB16" s="1264">
        <v>2</v>
      </c>
      <c r="HC16" s="1264" t="s">
        <v>1592</v>
      </c>
      <c r="HD16" s="1265">
        <v>39</v>
      </c>
      <c r="HE16" s="1266">
        <v>2.25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v>
      </c>
      <c r="HX16" s="1266">
        <v>4</v>
      </c>
      <c r="HY16" s="1266" t="s">
        <v>116</v>
      </c>
      <c r="HZ16" s="1266" t="s">
        <v>116</v>
      </c>
      <c r="IA16" s="1266" t="s">
        <v>1689</v>
      </c>
      <c r="IB16" s="1266"/>
      <c r="IC16" s="1266"/>
      <c r="ID16" s="1266"/>
      <c r="IE16" s="1266"/>
      <c r="IF16" s="1268"/>
    </row>
    <row r="17" spans="1:240" ht="12.6" customHeight="1" x14ac:dyDescent="0.25">
      <c r="A17" s="1448" t="s">
        <v>1498</v>
      </c>
      <c r="B17" s="1681">
        <v>1</v>
      </c>
      <c r="C17" s="1449" t="s">
        <v>1592</v>
      </c>
      <c r="D17" s="1705">
        <v>39</v>
      </c>
      <c r="E17" s="1706">
        <v>2.25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v>
      </c>
      <c r="X17" s="1713">
        <v>4</v>
      </c>
      <c r="Y17" s="1781" t="str">
        <f t="shared" si="13"/>
        <v/>
      </c>
      <c r="Z17" s="1782" t="str">
        <f t="shared" si="14"/>
        <v/>
      </c>
      <c r="AA17" s="1783" t="s">
        <v>1772</v>
      </c>
      <c r="AB17" s="1413"/>
      <c r="AC17" s="964" t="b">
        <v>0</v>
      </c>
      <c r="AD17" s="441">
        <f t="shared" si="15"/>
        <v>0</v>
      </c>
      <c r="AE17" s="442">
        <f t="shared" si="16"/>
        <v>1</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J68</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39</v>
      </c>
      <c r="GB17" s="1792">
        <v>3</v>
      </c>
      <c r="GC17" s="1793">
        <v>-0.25</v>
      </c>
      <c r="GD17" s="1794">
        <v>-0.5</v>
      </c>
      <c r="GE17" s="1795">
        <f t="shared" si="102"/>
        <v>0</v>
      </c>
      <c r="GF17" s="600" t="str">
        <f t="shared" si="103"/>
        <v>J68</v>
      </c>
      <c r="GG17" s="1130">
        <v>0</v>
      </c>
      <c r="GH17" s="1131">
        <v>0</v>
      </c>
      <c r="GI17" s="1130"/>
      <c r="GJ17" s="1131"/>
      <c r="GK17" s="1638">
        <f t="shared" si="104"/>
        <v>470.25</v>
      </c>
      <c r="GL17" s="1636">
        <f t="shared" si="105"/>
        <v>470.25</v>
      </c>
      <c r="GM17" s="1637">
        <f>IF(ABS(GK17-GL17)&gt;='Job Info.'!$L$22,ABS(GK17-GL17),0)</f>
        <v>0</v>
      </c>
      <c r="HA17" s="1269" t="s">
        <v>1498</v>
      </c>
      <c r="HB17" s="1270">
        <v>1</v>
      </c>
      <c r="HC17" s="1270" t="s">
        <v>1592</v>
      </c>
      <c r="HD17" s="1271">
        <v>39</v>
      </c>
      <c r="HE17" s="1272">
        <v>2.25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1690</v>
      </c>
      <c r="IB17" s="1272"/>
      <c r="IC17" s="1272"/>
      <c r="ID17" s="1272"/>
      <c r="IE17" s="1272"/>
      <c r="IF17" s="1274"/>
    </row>
    <row r="18" spans="1:240" ht="12.6" customHeight="1" x14ac:dyDescent="0.25">
      <c r="A18" s="1448" t="s">
        <v>1499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t="str">
        <f t="shared" si="7"/>
        <v/>
      </c>
      <c r="O18" s="1709" t="str">
        <f t="shared" si="8"/>
        <v/>
      </c>
      <c r="P18" s="1710" t="str">
        <f t="shared" si="9"/>
        <v/>
      </c>
      <c r="Q18" s="1705" t="str">
        <f t="shared" si="10"/>
        <v/>
      </c>
      <c r="R18" s="1709" t="str">
        <f t="shared" si="11"/>
        <v/>
      </c>
      <c r="S18" s="1711" t="str">
        <f t="shared" si="12"/>
        <v/>
      </c>
      <c r="T18" s="1714">
        <v>0</v>
      </c>
      <c r="U18" s="1709">
        <v>2.25</v>
      </c>
      <c r="V18" s="1705">
        <v>0</v>
      </c>
      <c r="W18" s="1709">
        <v>2</v>
      </c>
      <c r="X18" s="1713">
        <v>4</v>
      </c>
      <c r="Y18" s="1781" t="str">
        <f t="shared" si="13"/>
        <v/>
      </c>
      <c r="Z18" s="1782" t="str">
        <f t="shared" si="14"/>
        <v/>
      </c>
      <c r="AA18" s="1783" t="s">
        <v>1773</v>
      </c>
      <c r="AB18" s="1413"/>
      <c r="AC18" s="964" t="b">
        <v>0</v>
      </c>
      <c r="AD18" s="441">
        <f t="shared" si="15"/>
        <v>0</v>
      </c>
      <c r="AE18" s="442">
        <f t="shared" si="16"/>
        <v>1</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J69</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0.75</v>
      </c>
      <c r="GC18" s="1793">
        <v>-0.25</v>
      </c>
      <c r="GD18" s="1794">
        <v>-0.5</v>
      </c>
      <c r="GE18" s="1795">
        <f t="shared" si="102"/>
        <v>0</v>
      </c>
      <c r="GF18" s="600" t="str">
        <f t="shared" si="103"/>
        <v>J69</v>
      </c>
      <c r="GG18" s="1130">
        <v>0</v>
      </c>
      <c r="GH18" s="1131">
        <v>0</v>
      </c>
      <c r="GI18" s="1130"/>
      <c r="GJ18" s="1131"/>
      <c r="GK18" s="1638">
        <f t="shared" si="104"/>
        <v>480</v>
      </c>
      <c r="GL18" s="1636">
        <f t="shared" si="105"/>
        <v>480</v>
      </c>
      <c r="GM18" s="1637">
        <f>IF(ABS(GK18-GL18)&gt;='Job Info.'!$L$22,ABS(GK18-GL18),0)</f>
        <v>0</v>
      </c>
      <c r="HA18" s="1269" t="s">
        <v>1499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t="s">
        <v>116</v>
      </c>
      <c r="HO18" s="1270" t="s">
        <v>116</v>
      </c>
      <c r="HP18" s="1270" t="s">
        <v>116</v>
      </c>
      <c r="HQ18" s="1273" t="s">
        <v>116</v>
      </c>
      <c r="HR18" s="1270" t="s">
        <v>116</v>
      </c>
      <c r="HS18" s="1270" t="s">
        <v>116</v>
      </c>
      <c r="HT18" s="1270">
        <v>0</v>
      </c>
      <c r="HU18" s="1270">
        <v>2.25</v>
      </c>
      <c r="HV18" s="1270">
        <v>0</v>
      </c>
      <c r="HW18" s="1272">
        <v>2</v>
      </c>
      <c r="HX18" s="1272">
        <v>4</v>
      </c>
      <c r="HY18" s="1272" t="s">
        <v>116</v>
      </c>
      <c r="HZ18" s="1272" t="s">
        <v>116</v>
      </c>
      <c r="IA18" s="1272" t="s">
        <v>1691</v>
      </c>
      <c r="IB18" s="1272"/>
      <c r="IC18" s="1272"/>
      <c r="ID18" s="1272"/>
      <c r="IE18" s="1272"/>
      <c r="IF18" s="1274"/>
    </row>
    <row r="19" spans="1:240" ht="12.6" customHeight="1" x14ac:dyDescent="0.25">
      <c r="A19" s="1448" t="s">
        <v>1500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1774</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J70</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50</v>
      </c>
      <c r="GB19" s="1792">
        <v>0</v>
      </c>
      <c r="GC19" s="1793">
        <v>-0.25</v>
      </c>
      <c r="GD19" s="1794">
        <v>-0.25</v>
      </c>
      <c r="GE19" s="1795">
        <f t="shared" si="102"/>
        <v>0</v>
      </c>
      <c r="GF19" s="600" t="str">
        <f t="shared" si="103"/>
        <v>J70</v>
      </c>
      <c r="GG19" s="1130">
        <v>0</v>
      </c>
      <c r="GH19" s="1131">
        <v>0</v>
      </c>
      <c r="GI19" s="1130"/>
      <c r="GJ19" s="1131"/>
      <c r="GK19" s="1638">
        <f t="shared" si="104"/>
        <v>599.5</v>
      </c>
      <c r="GL19" s="1636">
        <f t="shared" si="105"/>
        <v>599.5</v>
      </c>
      <c r="GM19" s="1637">
        <f>IF(ABS(GK19-GL19)&gt;='Job Info.'!$L$22,ABS(GK19-GL19),0)</f>
        <v>0</v>
      </c>
      <c r="HA19" s="1269" t="s">
        <v>1500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1692</v>
      </c>
      <c r="IB19" s="1272"/>
      <c r="IC19" s="1272"/>
      <c r="ID19" s="1272"/>
      <c r="IE19" s="1272"/>
      <c r="IF19" s="1274"/>
    </row>
    <row r="20" spans="1:240" ht="12.6" customHeight="1" x14ac:dyDescent="0.25">
      <c r="A20" s="1448" t="s">
        <v>1501</v>
      </c>
      <c r="B20" s="1681">
        <v>1</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1775</v>
      </c>
      <c r="AB20" s="1413"/>
      <c r="AC20" s="964" t="b">
        <v>0</v>
      </c>
      <c r="AD20" s="441">
        <f t="shared" si="15"/>
        <v>0</v>
      </c>
      <c r="AE20" s="442">
        <f t="shared" si="16"/>
        <v>1</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J71</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50</v>
      </c>
      <c r="GB20" s="1792">
        <v>0</v>
      </c>
      <c r="GC20" s="1793">
        <v>-0.25</v>
      </c>
      <c r="GD20" s="1794">
        <v>-0.25</v>
      </c>
      <c r="GE20" s="1795">
        <f t="shared" si="102"/>
        <v>0</v>
      </c>
      <c r="GF20" s="600" t="str">
        <f t="shared" si="103"/>
        <v>J71</v>
      </c>
      <c r="GG20" s="1130">
        <v>0</v>
      </c>
      <c r="GH20" s="1131">
        <v>0</v>
      </c>
      <c r="GI20" s="1130"/>
      <c r="GJ20" s="1131"/>
      <c r="GK20" s="1638">
        <f t="shared" si="104"/>
        <v>599.5</v>
      </c>
      <c r="GL20" s="1636">
        <f t="shared" si="105"/>
        <v>599.5</v>
      </c>
      <c r="GM20" s="1637">
        <f>IF(ABS(GK20-GL20)&gt;='Job Info.'!$L$22,ABS(GK20-GL20),0)</f>
        <v>0</v>
      </c>
      <c r="HA20" s="1269" t="s">
        <v>1501</v>
      </c>
      <c r="HB20" s="1270">
        <v>1</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1693</v>
      </c>
      <c r="IB20" s="1272"/>
      <c r="IC20" s="1272"/>
      <c r="ID20" s="1272"/>
      <c r="IE20" s="1272"/>
      <c r="IF20" s="1274"/>
    </row>
    <row r="21" spans="1:240" ht="12.6" customHeight="1" x14ac:dyDescent="0.25">
      <c r="A21" s="1448" t="s">
        <v>1502</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1776</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J72</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J72</v>
      </c>
      <c r="GG21" s="1130">
        <v>0</v>
      </c>
      <c r="GH21" s="1131">
        <v>0</v>
      </c>
      <c r="GI21" s="1130"/>
      <c r="GJ21" s="1131"/>
      <c r="GK21" s="1638">
        <f t="shared" si="104"/>
        <v>829.5</v>
      </c>
      <c r="GL21" s="1636">
        <f t="shared" si="105"/>
        <v>829.5</v>
      </c>
      <c r="GM21" s="1637">
        <f>IF(ABS(GK21-GL21)&gt;='Job Info.'!$L$22,ABS(GK21-GL21),0)</f>
        <v>0</v>
      </c>
      <c r="HA21" s="1269" t="s">
        <v>1502</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1694</v>
      </c>
      <c r="IB21" s="1272"/>
      <c r="IC21" s="1272"/>
      <c r="ID21" s="1272"/>
      <c r="IE21" s="1272"/>
      <c r="IF21" s="1274"/>
    </row>
    <row r="22" spans="1:240" ht="12.6" customHeight="1" x14ac:dyDescent="0.25">
      <c r="A22" s="1448" t="s">
        <v>1503</v>
      </c>
      <c r="B22" s="1681">
        <v>1</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1777</v>
      </c>
      <c r="AB22" s="1413"/>
      <c r="AC22" s="964" t="b">
        <v>0</v>
      </c>
      <c r="AD22" s="441">
        <f t="shared" si="15"/>
        <v>0</v>
      </c>
      <c r="AE22" s="442">
        <f t="shared" si="16"/>
        <v>1</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J73</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J73</v>
      </c>
      <c r="GG22" s="1130">
        <v>0</v>
      </c>
      <c r="GH22" s="1131">
        <v>0</v>
      </c>
      <c r="GI22" s="1130"/>
      <c r="GJ22" s="1131"/>
      <c r="GK22" s="1638">
        <f t="shared" si="104"/>
        <v>829.5</v>
      </c>
      <c r="GL22" s="1636">
        <f t="shared" si="105"/>
        <v>829.5</v>
      </c>
      <c r="GM22" s="1637">
        <f>IF(ABS(GK22-GL22)&gt;='Job Info.'!$L$22,ABS(GK22-GL22),0)</f>
        <v>0</v>
      </c>
      <c r="HA22" s="1269" t="s">
        <v>1503</v>
      </c>
      <c r="HB22" s="1270">
        <v>1</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1691</v>
      </c>
      <c r="IB22" s="1272"/>
      <c r="IC22" s="1272"/>
      <c r="ID22" s="1272"/>
      <c r="IE22" s="1272"/>
      <c r="IF22" s="1274"/>
    </row>
    <row r="23" spans="1:240" ht="12.6" customHeight="1" x14ac:dyDescent="0.25">
      <c r="A23" s="1448" t="str">
        <f t="shared" ref="A23:A44" si="109">IF(BB23="","",UPPER(BB23))</f>
        <v/>
      </c>
      <c r="B23" s="1681"/>
      <c r="C23" s="1449" t="str">
        <f t="shared" ref="C23:C44" si="110">IF(BD23="","",UPPER(BD23))</f>
        <v/>
      </c>
      <c r="D23" s="1705" t="str">
        <f t="shared" ref="D23:D44" si="111">IF(DP23="","",TRUNC(DP23/12))</f>
        <v/>
      </c>
      <c r="E23" s="1706" t="str">
        <f t="shared" ref="E23:E44" si="112">IF(DP23="","",DP23-(D23*12))</f>
        <v/>
      </c>
      <c r="F23" s="1714" t="str">
        <f t="shared" si="1"/>
        <v/>
      </c>
      <c r="G23" s="1709" t="str">
        <f t="shared" si="2"/>
        <v/>
      </c>
      <c r="H23" s="1779" t="str">
        <f t="shared" si="3"/>
        <v/>
      </c>
      <c r="I23" s="1705" t="str">
        <f t="shared" si="4"/>
        <v/>
      </c>
      <c r="J23" s="1709" t="str">
        <f t="shared" si="5"/>
        <v/>
      </c>
      <c r="K23" s="1796" t="str">
        <f t="shared" si="6"/>
        <v/>
      </c>
      <c r="L23" s="1712" t="str">
        <f t="shared" ref="L23:M44" si="113">DQ23</f>
        <v/>
      </c>
      <c r="M23" s="1713" t="str">
        <f t="shared" si="113"/>
        <v/>
      </c>
      <c r="N23" s="1708" t="str">
        <f t="shared" si="7"/>
        <v/>
      </c>
      <c r="O23" s="1709" t="str">
        <f t="shared" si="8"/>
        <v/>
      </c>
      <c r="P23" s="1710" t="str">
        <f t="shared" si="9"/>
        <v/>
      </c>
      <c r="Q23" s="1705" t="str">
        <f t="shared" si="10"/>
        <v/>
      </c>
      <c r="R23" s="1709" t="str">
        <f t="shared" si="11"/>
        <v/>
      </c>
      <c r="S23" s="1711" t="str">
        <f t="shared" si="12"/>
        <v/>
      </c>
      <c r="T23" s="1714" t="str">
        <f t="shared" ref="T23:T45" si="114">IF(CH23="ERR","",IF(EK23="","",IF(EK23="ERR",TRUNC(EJ23/12),TRUNC(EK23/12))))</f>
        <v/>
      </c>
      <c r="U23" s="1709" t="str">
        <f t="shared" ref="U23:U45" si="115">IF(CH23="ERR","",IF(EK23="","",IF(EK23="ERR",EJ23-(T23*12),EK23-(T23*12))))</f>
        <v/>
      </c>
      <c r="V23" s="1705" t="str">
        <f t="shared" ref="V23:V45" si="116">IF(CI23="ERR","",IF(ER23="","",IF(ER23="ERR",TRUNC(EQ23/12),TRUNC(ER23/12))))</f>
        <v/>
      </c>
      <c r="W23" s="1709" t="str">
        <f t="shared" ref="W23:W45" si="117">IF(CI23="ERR","",IF(ER23="","",IF(ER23="ERR",EQ23-(V23*12),ER23-(V23*12))))</f>
        <v/>
      </c>
      <c r="X23" s="1713">
        <f t="shared" ref="X23:X44" si="118">IF(EV23="",0,EV23)</f>
        <v>0</v>
      </c>
      <c r="Y23" s="1781" t="str">
        <f t="shared" si="13"/>
        <v/>
      </c>
      <c r="Z23" s="1782" t="str">
        <f t="shared" si="14"/>
        <v/>
      </c>
      <c r="AA23" s="1783" t="s">
        <v>116</v>
      </c>
      <c r="AB23" s="1413"/>
      <c r="AC23" s="964" t="b">
        <v>0</v>
      </c>
      <c r="AD23" s="441">
        <f t="shared" si="15"/>
        <v>0</v>
      </c>
      <c r="AE23" s="442">
        <f t="shared" si="16"/>
        <v>0</v>
      </c>
      <c r="AF23" s="442">
        <f t="shared" si="17"/>
        <v>0</v>
      </c>
      <c r="AG23" s="442">
        <f t="shared" si="18"/>
        <v>0</v>
      </c>
      <c r="AH23" s="443">
        <f t="shared" si="19"/>
        <v>0</v>
      </c>
      <c r="AI23" s="444" t="b">
        <v>0</v>
      </c>
      <c r="AJ23" s="238">
        <f t="shared" si="20"/>
        <v>0</v>
      </c>
      <c r="AK23" s="830" t="str">
        <f t="shared" si="21"/>
        <v/>
      </c>
      <c r="AL23" s="945" t="str">
        <f t="shared" si="22"/>
        <v/>
      </c>
      <c r="AM23" s="830" t="str">
        <f t="shared" si="23"/>
        <v/>
      </c>
      <c r="AN23" s="830" t="str">
        <f t="shared" si="24"/>
        <v/>
      </c>
      <c r="AO23" s="830" t="str">
        <f t="shared" si="25"/>
        <v/>
      </c>
      <c r="AP23" s="830" t="b">
        <f>IF(ISERROR(AJ23),FALSE,IF(OR(AJ23=0,ISERROR(AL23),ISERROR(AM23),ISERROR(AN23),ISERROR(AO23)),FALSE,IF(AL23&lt;&gt;"",IF(ISERROR(VLOOKUP(SUBSTITUTE(SUBSTITUTE(C23,"R",""),"A",""),TblJoistSize!$A:$A,1,FALSE)),FALSE,TRUE),TRUE)))</f>
        <v>0</v>
      </c>
      <c r="AQ23" s="1038" t="e">
        <f t="shared" si="26"/>
        <v>#N/A</v>
      </c>
      <c r="AR23" s="945" t="b">
        <f t="shared" si="27"/>
        <v>0</v>
      </c>
      <c r="AS23" s="1038" t="e">
        <f t="shared" si="28"/>
        <v>#N/A</v>
      </c>
      <c r="AT23" s="945" t="b">
        <f t="shared" si="29"/>
        <v>0</v>
      </c>
      <c r="AU23" s="946" t="str">
        <f t="shared" si="30"/>
        <v/>
      </c>
      <c r="AV23" s="830" t="str">
        <f t="shared" si="31"/>
        <v/>
      </c>
      <c r="AW23" s="830" t="str">
        <f t="shared" si="32"/>
        <v/>
      </c>
      <c r="AX23" s="830" t="str">
        <f t="shared" si="106"/>
        <v/>
      </c>
      <c r="AY23" s="1039" t="b">
        <f t="shared" si="33"/>
        <v>0</v>
      </c>
      <c r="AZ23" s="856" t="str">
        <f t="shared" si="34"/>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t="str">
        <f t="shared" si="47"/>
        <v/>
      </c>
      <c r="CS23" s="751" t="str">
        <f t="shared" si="48"/>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e">
        <f t="shared" si="70"/>
        <v>#N/A</v>
      </c>
      <c r="EI23" s="856" t="e">
        <f t="shared" si="71"/>
        <v>#N/A</v>
      </c>
      <c r="EJ23" s="822" t="str">
        <f t="shared" si="72"/>
        <v/>
      </c>
      <c r="EK23" s="822" t="str">
        <f t="shared" si="72"/>
        <v/>
      </c>
      <c r="EL23" s="1293" t="str">
        <f t="shared" si="73"/>
        <v/>
      </c>
      <c r="EM23" s="822" t="str">
        <f t="shared" si="74"/>
        <v/>
      </c>
      <c r="EN23" s="822" t="str">
        <f t="shared" si="75"/>
        <v/>
      </c>
      <c r="EO23" s="856" t="e">
        <f t="shared" si="76"/>
        <v>#N/A</v>
      </c>
      <c r="EP23" s="856" t="e">
        <f t="shared" si="77"/>
        <v>#N/A</v>
      </c>
      <c r="EQ23" s="1293" t="str">
        <f t="shared" si="78"/>
        <v/>
      </c>
      <c r="ER23" s="822" t="str">
        <f t="shared" si="78"/>
        <v/>
      </c>
      <c r="ES23" s="822" t="str">
        <f t="shared" si="79"/>
        <v/>
      </c>
      <c r="ET23" s="822" t="str">
        <f t="shared" si="80"/>
        <v/>
      </c>
      <c r="EU23" s="829" t="str">
        <f t="shared" si="81"/>
        <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t="str">
        <f t="shared" ref="GA23:GA45" si="119">IF(GF23="","",BE23)</f>
        <v/>
      </c>
      <c r="GB23" s="1792" t="str">
        <f t="shared" ref="GB23:GB45" si="120">IF(GF23="","",BF23)</f>
        <v/>
      </c>
      <c r="GC23" s="1793" t="str">
        <f t="shared" ref="GC23:GC45" si="121">IF(GF23="","",IF(CV23="",0,CV23))</f>
        <v/>
      </c>
      <c r="GD23" s="1794" t="str">
        <f t="shared" ref="GD23:GD45" si="122">IF(GF23="","",IF(DF23="",0,DF23))</f>
        <v/>
      </c>
      <c r="GE23" s="1795" t="str">
        <f t="shared" si="102"/>
        <v/>
      </c>
      <c r="GF23" s="600" t="str">
        <f t="shared" si="103"/>
        <v/>
      </c>
      <c r="GG23" s="1130"/>
      <c r="GH23" s="1131"/>
      <c r="GI23" s="1130"/>
      <c r="GJ23" s="1131"/>
      <c r="GK23" s="1638">
        <f t="shared" si="104"/>
        <v>0</v>
      </c>
      <c r="GL23" s="1636" t="e">
        <f t="shared" si="105"/>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09"/>
        <v/>
      </c>
      <c r="B24" s="1681"/>
      <c r="C24" s="1449" t="str">
        <f t="shared" si="110"/>
        <v/>
      </c>
      <c r="D24" s="1705" t="str">
        <f t="shared" si="111"/>
        <v/>
      </c>
      <c r="E24" s="1706" t="str">
        <f t="shared" si="112"/>
        <v/>
      </c>
      <c r="F24" s="1714" t="str">
        <f t="shared" si="1"/>
        <v/>
      </c>
      <c r="G24" s="1709" t="str">
        <f t="shared" si="2"/>
        <v/>
      </c>
      <c r="H24" s="1779" t="str">
        <f t="shared" si="3"/>
        <v/>
      </c>
      <c r="I24" s="1705" t="str">
        <f t="shared" si="4"/>
        <v/>
      </c>
      <c r="J24" s="1709" t="str">
        <f t="shared" si="5"/>
        <v/>
      </c>
      <c r="K24" s="1796" t="str">
        <f t="shared" si="6"/>
        <v/>
      </c>
      <c r="L24" s="1712" t="str">
        <f t="shared" si="113"/>
        <v/>
      </c>
      <c r="M24" s="1713" t="str">
        <f t="shared" si="113"/>
        <v/>
      </c>
      <c r="N24" s="1708" t="str">
        <f t="shared" si="7"/>
        <v/>
      </c>
      <c r="O24" s="1709" t="str">
        <f t="shared" si="8"/>
        <v/>
      </c>
      <c r="P24" s="1710" t="str">
        <f t="shared" si="9"/>
        <v/>
      </c>
      <c r="Q24" s="1705" t="str">
        <f t="shared" si="10"/>
        <v/>
      </c>
      <c r="R24" s="1709" t="str">
        <f t="shared" si="11"/>
        <v/>
      </c>
      <c r="S24" s="1711" t="str">
        <f t="shared" si="12"/>
        <v/>
      </c>
      <c r="T24" s="1714" t="str">
        <f t="shared" si="114"/>
        <v/>
      </c>
      <c r="U24" s="1709" t="str">
        <f t="shared" si="115"/>
        <v/>
      </c>
      <c r="V24" s="1705" t="str">
        <f t="shared" si="116"/>
        <v/>
      </c>
      <c r="W24" s="1709" t="str">
        <f t="shared" si="117"/>
        <v/>
      </c>
      <c r="X24" s="1713">
        <f t="shared" si="118"/>
        <v>0</v>
      </c>
      <c r="Y24" s="1781" t="str">
        <f t="shared" si="13"/>
        <v/>
      </c>
      <c r="Z24" s="1782" t="str">
        <f t="shared" si="14"/>
        <v/>
      </c>
      <c r="AA24" s="1783" t="s">
        <v>116</v>
      </c>
      <c r="AB24" s="1413"/>
      <c r="AC24" s="964" t="b">
        <v>0</v>
      </c>
      <c r="AD24" s="441">
        <f t="shared" si="15"/>
        <v>0</v>
      </c>
      <c r="AE24" s="442">
        <f t="shared" si="16"/>
        <v>0</v>
      </c>
      <c r="AF24" s="442">
        <f t="shared" si="17"/>
        <v>0</v>
      </c>
      <c r="AG24" s="442">
        <f t="shared" si="18"/>
        <v>0</v>
      </c>
      <c r="AH24" s="443">
        <f t="shared" si="19"/>
        <v>0</v>
      </c>
      <c r="AI24" s="444" t="b">
        <v>0</v>
      </c>
      <c r="AJ24" s="238">
        <f t="shared" si="20"/>
        <v>0</v>
      </c>
      <c r="AK24" s="830" t="str">
        <f t="shared" si="21"/>
        <v/>
      </c>
      <c r="AL24" s="945" t="str">
        <f t="shared" si="22"/>
        <v/>
      </c>
      <c r="AM24" s="830" t="str">
        <f t="shared" si="23"/>
        <v/>
      </c>
      <c r="AN24" s="830" t="str">
        <f t="shared" si="24"/>
        <v/>
      </c>
      <c r="AO24" s="830" t="str">
        <f t="shared" si="25"/>
        <v/>
      </c>
      <c r="AP24" s="830" t="b">
        <f>IF(ISERROR(AJ24),FALSE,IF(OR(AJ24=0,ISERROR(AL24),ISERROR(AM24),ISERROR(AN24),ISERROR(AO24)),FALSE,IF(AL24&lt;&gt;"",IF(ISERROR(VLOOKUP(SUBSTITUTE(SUBSTITUTE(C24,"R",""),"A",""),TblJoistSize!$A:$A,1,FALSE)),FALSE,TRUE),TRUE)))</f>
        <v>0</v>
      </c>
      <c r="AQ24" s="1038" t="e">
        <f t="shared" si="26"/>
        <v>#N/A</v>
      </c>
      <c r="AR24" s="945" t="b">
        <f t="shared" si="27"/>
        <v>0</v>
      </c>
      <c r="AS24" s="1038" t="e">
        <f t="shared" si="28"/>
        <v>#N/A</v>
      </c>
      <c r="AT24" s="945" t="b">
        <f t="shared" si="29"/>
        <v>0</v>
      </c>
      <c r="AU24" s="946" t="str">
        <f t="shared" si="30"/>
        <v/>
      </c>
      <c r="AV24" s="830" t="str">
        <f t="shared" si="31"/>
        <v/>
      </c>
      <c r="AW24" s="830" t="str">
        <f t="shared" si="32"/>
        <v/>
      </c>
      <c r="AX24" s="830" t="str">
        <f t="shared" si="106"/>
        <v/>
      </c>
      <c r="AY24" s="1039" t="b">
        <f t="shared" si="33"/>
        <v>0</v>
      </c>
      <c r="AZ24" s="856" t="str">
        <f t="shared" si="34"/>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t="str">
        <f t="shared" si="47"/>
        <v/>
      </c>
      <c r="CS24" s="751" t="str">
        <f t="shared" si="48"/>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e">
        <f t="shared" si="70"/>
        <v>#N/A</v>
      </c>
      <c r="EI24" s="856" t="e">
        <f t="shared" si="71"/>
        <v>#N/A</v>
      </c>
      <c r="EJ24" s="822" t="str">
        <f t="shared" si="72"/>
        <v/>
      </c>
      <c r="EK24" s="822" t="str">
        <f t="shared" si="72"/>
        <v/>
      </c>
      <c r="EL24" s="1293" t="str">
        <f t="shared" si="73"/>
        <v/>
      </c>
      <c r="EM24" s="822" t="str">
        <f t="shared" si="74"/>
        <v/>
      </c>
      <c r="EN24" s="822" t="str">
        <f t="shared" si="75"/>
        <v/>
      </c>
      <c r="EO24" s="856" t="e">
        <f t="shared" si="76"/>
        <v>#N/A</v>
      </c>
      <c r="EP24" s="856" t="e">
        <f t="shared" si="77"/>
        <v>#N/A</v>
      </c>
      <c r="EQ24" s="1293" t="str">
        <f t="shared" si="78"/>
        <v/>
      </c>
      <c r="ER24" s="822" t="str">
        <f t="shared" si="78"/>
        <v/>
      </c>
      <c r="ES24" s="822" t="str">
        <f t="shared" si="79"/>
        <v/>
      </c>
      <c r="ET24" s="822" t="str">
        <f t="shared" si="80"/>
        <v/>
      </c>
      <c r="EU24" s="829" t="str">
        <f t="shared" si="81"/>
        <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t="str">
        <f t="shared" si="119"/>
        <v/>
      </c>
      <c r="GB24" s="1792" t="str">
        <f t="shared" si="120"/>
        <v/>
      </c>
      <c r="GC24" s="1793" t="str">
        <f t="shared" si="121"/>
        <v/>
      </c>
      <c r="GD24" s="1794" t="str">
        <f t="shared" si="122"/>
        <v/>
      </c>
      <c r="GE24" s="1795" t="str">
        <f t="shared" si="102"/>
        <v/>
      </c>
      <c r="GF24" s="600" t="str">
        <f t="shared" si="103"/>
        <v/>
      </c>
      <c r="GG24" s="1130"/>
      <c r="GH24" s="1131"/>
      <c r="GI24" s="1130"/>
      <c r="GJ24" s="1131"/>
      <c r="GK24" s="1638">
        <f t="shared" si="104"/>
        <v>0</v>
      </c>
      <c r="GL24" s="1636" t="e">
        <f t="shared" si="105"/>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09"/>
        <v/>
      </c>
      <c r="B25" s="1681"/>
      <c r="C25" s="1449" t="str">
        <f t="shared" si="110"/>
        <v/>
      </c>
      <c r="D25" s="1705" t="str">
        <f t="shared" si="111"/>
        <v/>
      </c>
      <c r="E25" s="1706" t="str">
        <f t="shared" si="112"/>
        <v/>
      </c>
      <c r="F25" s="1714" t="str">
        <f t="shared" si="1"/>
        <v/>
      </c>
      <c r="G25" s="1709" t="str">
        <f t="shared" si="2"/>
        <v/>
      </c>
      <c r="H25" s="1779" t="str">
        <f t="shared" si="3"/>
        <v/>
      </c>
      <c r="I25" s="1705" t="str">
        <f t="shared" si="4"/>
        <v/>
      </c>
      <c r="J25" s="1709" t="str">
        <f t="shared" si="5"/>
        <v/>
      </c>
      <c r="K25" s="1796" t="str">
        <f t="shared" si="6"/>
        <v/>
      </c>
      <c r="L25" s="1712" t="str">
        <f t="shared" si="113"/>
        <v/>
      </c>
      <c r="M25" s="1713" t="str">
        <f t="shared" si="113"/>
        <v/>
      </c>
      <c r="N25" s="1708" t="str">
        <f t="shared" si="7"/>
        <v/>
      </c>
      <c r="O25" s="1709" t="str">
        <f t="shared" si="8"/>
        <v/>
      </c>
      <c r="P25" s="1710" t="str">
        <f t="shared" si="9"/>
        <v/>
      </c>
      <c r="Q25" s="1705" t="str">
        <f t="shared" si="10"/>
        <v/>
      </c>
      <c r="R25" s="1709" t="str">
        <f t="shared" si="11"/>
        <v/>
      </c>
      <c r="S25" s="1711" t="str">
        <f t="shared" si="12"/>
        <v/>
      </c>
      <c r="T25" s="1714" t="str">
        <f t="shared" si="114"/>
        <v/>
      </c>
      <c r="U25" s="1709" t="str">
        <f t="shared" si="115"/>
        <v/>
      </c>
      <c r="V25" s="1705" t="str">
        <f t="shared" si="116"/>
        <v/>
      </c>
      <c r="W25" s="1709" t="str">
        <f t="shared" si="117"/>
        <v/>
      </c>
      <c r="X25" s="1713">
        <f t="shared" si="118"/>
        <v>0</v>
      </c>
      <c r="Y25" s="1781" t="str">
        <f t="shared" si="13"/>
        <v/>
      </c>
      <c r="Z25" s="1782" t="str">
        <f t="shared" si="14"/>
        <v/>
      </c>
      <c r="AA25" s="1783" t="s">
        <v>116</v>
      </c>
      <c r="AB25" s="1413"/>
      <c r="AC25" s="964" t="b">
        <v>0</v>
      </c>
      <c r="AD25" s="441">
        <f t="shared" si="15"/>
        <v>0</v>
      </c>
      <c r="AE25" s="442">
        <f t="shared" si="16"/>
        <v>0</v>
      </c>
      <c r="AF25" s="442">
        <f t="shared" si="17"/>
        <v>0</v>
      </c>
      <c r="AG25" s="442">
        <f t="shared" si="18"/>
        <v>0</v>
      </c>
      <c r="AH25" s="443">
        <f t="shared" si="19"/>
        <v>0</v>
      </c>
      <c r="AI25" s="444" t="b">
        <v>0</v>
      </c>
      <c r="AJ25" s="238">
        <f t="shared" si="20"/>
        <v>0</v>
      </c>
      <c r="AK25" s="830" t="str">
        <f t="shared" si="21"/>
        <v/>
      </c>
      <c r="AL25" s="945" t="str">
        <f t="shared" si="22"/>
        <v/>
      </c>
      <c r="AM25" s="830" t="str">
        <f t="shared" si="23"/>
        <v/>
      </c>
      <c r="AN25" s="830" t="str">
        <f t="shared" si="24"/>
        <v/>
      </c>
      <c r="AO25" s="830" t="str">
        <f t="shared" si="25"/>
        <v/>
      </c>
      <c r="AP25" s="830" t="b">
        <f>IF(ISERROR(AJ25),FALSE,IF(OR(AJ25=0,ISERROR(AL25),ISERROR(AM25),ISERROR(AN25),ISERROR(AO25)),FALSE,IF(AL25&lt;&gt;"",IF(ISERROR(VLOOKUP(SUBSTITUTE(SUBSTITUTE(C25,"R",""),"A",""),TblJoistSize!$A:$A,1,FALSE)),FALSE,TRUE),TRUE)))</f>
        <v>0</v>
      </c>
      <c r="AQ25" s="1038" t="e">
        <f t="shared" si="26"/>
        <v>#N/A</v>
      </c>
      <c r="AR25" s="945" t="b">
        <f t="shared" si="27"/>
        <v>0</v>
      </c>
      <c r="AS25" s="1038" t="e">
        <f t="shared" si="28"/>
        <v>#N/A</v>
      </c>
      <c r="AT25" s="945" t="b">
        <f t="shared" si="29"/>
        <v>0</v>
      </c>
      <c r="AU25" s="946" t="str">
        <f t="shared" si="30"/>
        <v/>
      </c>
      <c r="AV25" s="830" t="str">
        <f t="shared" si="31"/>
        <v/>
      </c>
      <c r="AW25" s="830" t="str">
        <f t="shared" si="32"/>
        <v/>
      </c>
      <c r="AX25" s="830" t="str">
        <f t="shared" si="106"/>
        <v/>
      </c>
      <c r="AY25" s="1039" t="b">
        <f t="shared" si="33"/>
        <v>0</v>
      </c>
      <c r="AZ25" s="856" t="str">
        <f t="shared" si="34"/>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t="str">
        <f t="shared" si="47"/>
        <v/>
      </c>
      <c r="CS25" s="751" t="str">
        <f t="shared" si="48"/>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e">
        <f t="shared" si="70"/>
        <v>#N/A</v>
      </c>
      <c r="EI25" s="856" t="e">
        <f t="shared" si="71"/>
        <v>#N/A</v>
      </c>
      <c r="EJ25" s="822" t="str">
        <f t="shared" si="72"/>
        <v/>
      </c>
      <c r="EK25" s="822" t="str">
        <f t="shared" si="72"/>
        <v/>
      </c>
      <c r="EL25" s="1293" t="str">
        <f t="shared" si="73"/>
        <v/>
      </c>
      <c r="EM25" s="822" t="str">
        <f t="shared" si="74"/>
        <v/>
      </c>
      <c r="EN25" s="822" t="str">
        <f t="shared" si="75"/>
        <v/>
      </c>
      <c r="EO25" s="856" t="e">
        <f t="shared" si="76"/>
        <v>#N/A</v>
      </c>
      <c r="EP25" s="856" t="e">
        <f t="shared" si="77"/>
        <v>#N/A</v>
      </c>
      <c r="EQ25" s="1293" t="str">
        <f t="shared" si="78"/>
        <v/>
      </c>
      <c r="ER25" s="822" t="str">
        <f t="shared" si="78"/>
        <v/>
      </c>
      <c r="ES25" s="822" t="str">
        <f t="shared" si="79"/>
        <v/>
      </c>
      <c r="ET25" s="822" t="str">
        <f t="shared" si="80"/>
        <v/>
      </c>
      <c r="EU25" s="829" t="str">
        <f t="shared" si="81"/>
        <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t="str">
        <f t="shared" si="119"/>
        <v/>
      </c>
      <c r="GB25" s="1792" t="str">
        <f t="shared" si="120"/>
        <v/>
      </c>
      <c r="GC25" s="1793" t="str">
        <f t="shared" si="121"/>
        <v/>
      </c>
      <c r="GD25" s="1794" t="str">
        <f t="shared" si="122"/>
        <v/>
      </c>
      <c r="GE25" s="1795" t="str">
        <f t="shared" si="102"/>
        <v/>
      </c>
      <c r="GF25" s="600" t="str">
        <f t="shared" si="103"/>
        <v/>
      </c>
      <c r="GG25" s="1130"/>
      <c r="GH25" s="1131"/>
      <c r="GI25" s="1130"/>
      <c r="GJ25" s="1131"/>
      <c r="GK25" s="1638">
        <f t="shared" si="104"/>
        <v>0</v>
      </c>
      <c r="GL25" s="1636" t="e">
        <f t="shared" si="105"/>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09"/>
        <v/>
      </c>
      <c r="B26" s="1681"/>
      <c r="C26" s="1449" t="str">
        <f t="shared" si="110"/>
        <v/>
      </c>
      <c r="D26" s="1705" t="str">
        <f t="shared" si="111"/>
        <v/>
      </c>
      <c r="E26" s="1706" t="str">
        <f t="shared" si="112"/>
        <v/>
      </c>
      <c r="F26" s="1714" t="str">
        <f t="shared" si="1"/>
        <v/>
      </c>
      <c r="G26" s="1709" t="str">
        <f t="shared" si="2"/>
        <v/>
      </c>
      <c r="H26" s="1779" t="str">
        <f t="shared" si="3"/>
        <v/>
      </c>
      <c r="I26" s="1705" t="str">
        <f t="shared" si="4"/>
        <v/>
      </c>
      <c r="J26" s="1709" t="str">
        <f t="shared" si="5"/>
        <v/>
      </c>
      <c r="K26" s="1796" t="str">
        <f t="shared" si="6"/>
        <v/>
      </c>
      <c r="L26" s="1712" t="str">
        <f t="shared" si="113"/>
        <v/>
      </c>
      <c r="M26" s="1713" t="str">
        <f t="shared" si="113"/>
        <v/>
      </c>
      <c r="N26" s="1708" t="str">
        <f t="shared" si="7"/>
        <v/>
      </c>
      <c r="O26" s="1709" t="str">
        <f t="shared" si="8"/>
        <v/>
      </c>
      <c r="P26" s="1710" t="str">
        <f t="shared" si="9"/>
        <v/>
      </c>
      <c r="Q26" s="1705" t="str">
        <f t="shared" si="10"/>
        <v/>
      </c>
      <c r="R26" s="1709" t="str">
        <f t="shared" si="11"/>
        <v/>
      </c>
      <c r="S26" s="1711" t="str">
        <f t="shared" si="12"/>
        <v/>
      </c>
      <c r="T26" s="1714" t="str">
        <f t="shared" si="114"/>
        <v/>
      </c>
      <c r="U26" s="1709" t="str">
        <f t="shared" si="115"/>
        <v/>
      </c>
      <c r="V26" s="1705" t="str">
        <f t="shared" si="116"/>
        <v/>
      </c>
      <c r="W26" s="1709" t="str">
        <f t="shared" si="117"/>
        <v/>
      </c>
      <c r="X26" s="1713">
        <f t="shared" si="118"/>
        <v>0</v>
      </c>
      <c r="Y26" s="1781" t="str">
        <f t="shared" si="13"/>
        <v/>
      </c>
      <c r="Z26" s="1782" t="str">
        <f t="shared" si="14"/>
        <v/>
      </c>
      <c r="AA26" s="1783" t="s">
        <v>116</v>
      </c>
      <c r="AB26" s="1413"/>
      <c r="AC26" s="964" t="b">
        <v>0</v>
      </c>
      <c r="AD26" s="441">
        <f t="shared" si="15"/>
        <v>0</v>
      </c>
      <c r="AE26" s="442">
        <f t="shared" si="16"/>
        <v>0</v>
      </c>
      <c r="AF26" s="442">
        <f t="shared" si="17"/>
        <v>0</v>
      </c>
      <c r="AG26" s="442">
        <f t="shared" si="18"/>
        <v>0</v>
      </c>
      <c r="AH26" s="443">
        <f t="shared" si="19"/>
        <v>0</v>
      </c>
      <c r="AI26" s="444" t="b">
        <v>0</v>
      </c>
      <c r="AJ26" s="238">
        <f t="shared" si="20"/>
        <v>0</v>
      </c>
      <c r="AK26" s="830" t="str">
        <f t="shared" si="21"/>
        <v/>
      </c>
      <c r="AL26" s="945" t="str">
        <f t="shared" si="22"/>
        <v/>
      </c>
      <c r="AM26" s="830" t="str">
        <f t="shared" si="23"/>
        <v/>
      </c>
      <c r="AN26" s="830" t="str">
        <f t="shared" si="24"/>
        <v/>
      </c>
      <c r="AO26" s="830" t="str">
        <f t="shared" si="25"/>
        <v/>
      </c>
      <c r="AP26" s="830" t="b">
        <f>IF(ISERROR(AJ26),FALSE,IF(OR(AJ26=0,ISERROR(AL26),ISERROR(AM26),ISERROR(AN26),ISERROR(AO26)),FALSE,IF(AL26&lt;&gt;"",IF(ISERROR(VLOOKUP(SUBSTITUTE(SUBSTITUTE(C26,"R",""),"A",""),TblJoistSize!$A:$A,1,FALSE)),FALSE,TRUE),TRUE)))</f>
        <v>0</v>
      </c>
      <c r="AQ26" s="1038" t="e">
        <f t="shared" si="26"/>
        <v>#N/A</v>
      </c>
      <c r="AR26" s="945" t="b">
        <f t="shared" si="27"/>
        <v>0</v>
      </c>
      <c r="AS26" s="1038" t="e">
        <f t="shared" si="28"/>
        <v>#N/A</v>
      </c>
      <c r="AT26" s="945" t="b">
        <f t="shared" si="29"/>
        <v>0</v>
      </c>
      <c r="AU26" s="946" t="str">
        <f t="shared" si="30"/>
        <v/>
      </c>
      <c r="AV26" s="830" t="str">
        <f t="shared" si="31"/>
        <v/>
      </c>
      <c r="AW26" s="830" t="str">
        <f t="shared" si="32"/>
        <v/>
      </c>
      <c r="AX26" s="830" t="str">
        <f t="shared" si="106"/>
        <v/>
      </c>
      <c r="AY26" s="1039" t="b">
        <f t="shared" si="33"/>
        <v>0</v>
      </c>
      <c r="AZ26" s="856" t="str">
        <f t="shared" si="34"/>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t="str">
        <f t="shared" si="47"/>
        <v/>
      </c>
      <c r="CS26" s="751" t="str">
        <f t="shared" si="48"/>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e">
        <f t="shared" si="70"/>
        <v>#N/A</v>
      </c>
      <c r="EI26" s="856" t="e">
        <f t="shared" si="71"/>
        <v>#N/A</v>
      </c>
      <c r="EJ26" s="822" t="str">
        <f t="shared" si="72"/>
        <v/>
      </c>
      <c r="EK26" s="822" t="str">
        <f t="shared" si="72"/>
        <v/>
      </c>
      <c r="EL26" s="1293" t="str">
        <f t="shared" si="73"/>
        <v/>
      </c>
      <c r="EM26" s="822" t="str">
        <f t="shared" si="74"/>
        <v/>
      </c>
      <c r="EN26" s="822" t="str">
        <f t="shared" si="75"/>
        <v/>
      </c>
      <c r="EO26" s="856" t="e">
        <f t="shared" si="76"/>
        <v>#N/A</v>
      </c>
      <c r="EP26" s="856" t="e">
        <f t="shared" si="77"/>
        <v>#N/A</v>
      </c>
      <c r="EQ26" s="1293" t="str">
        <f t="shared" si="78"/>
        <v/>
      </c>
      <c r="ER26" s="822" t="str">
        <f t="shared" si="78"/>
        <v/>
      </c>
      <c r="ES26" s="822" t="str">
        <f t="shared" si="79"/>
        <v/>
      </c>
      <c r="ET26" s="822" t="str">
        <f t="shared" si="80"/>
        <v/>
      </c>
      <c r="EU26" s="829" t="str">
        <f t="shared" si="81"/>
        <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t="str">
        <f t="shared" si="119"/>
        <v/>
      </c>
      <c r="GB26" s="1792" t="str">
        <f t="shared" si="120"/>
        <v/>
      </c>
      <c r="GC26" s="1793" t="str">
        <f t="shared" si="121"/>
        <v/>
      </c>
      <c r="GD26" s="1794" t="str">
        <f t="shared" si="122"/>
        <v/>
      </c>
      <c r="GE26" s="1795" t="str">
        <f t="shared" si="102"/>
        <v/>
      </c>
      <c r="GF26" s="600" t="str">
        <f t="shared" si="103"/>
        <v/>
      </c>
      <c r="GG26" s="1130"/>
      <c r="GH26" s="1131"/>
      <c r="GI26" s="1130"/>
      <c r="GJ26" s="1131"/>
      <c r="GK26" s="1638">
        <f t="shared" si="104"/>
        <v>0</v>
      </c>
      <c r="GL26" s="1636" t="e">
        <f t="shared" si="105"/>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09"/>
        <v/>
      </c>
      <c r="B27" s="1681"/>
      <c r="C27" s="1449" t="str">
        <f t="shared" si="110"/>
        <v/>
      </c>
      <c r="D27" s="1705" t="str">
        <f t="shared" si="111"/>
        <v/>
      </c>
      <c r="E27" s="1706" t="str">
        <f t="shared" si="112"/>
        <v/>
      </c>
      <c r="F27" s="1714" t="str">
        <f t="shared" si="1"/>
        <v/>
      </c>
      <c r="G27" s="1709" t="str">
        <f t="shared" si="2"/>
        <v/>
      </c>
      <c r="H27" s="1779" t="str">
        <f t="shared" si="3"/>
        <v/>
      </c>
      <c r="I27" s="1705" t="str">
        <f t="shared" si="4"/>
        <v/>
      </c>
      <c r="J27" s="1709" t="str">
        <f t="shared" si="5"/>
        <v/>
      </c>
      <c r="K27" s="1796" t="str">
        <f t="shared" si="6"/>
        <v/>
      </c>
      <c r="L27" s="1712" t="str">
        <f t="shared" si="113"/>
        <v/>
      </c>
      <c r="M27" s="1713" t="str">
        <f t="shared" si="113"/>
        <v/>
      </c>
      <c r="N27" s="1708" t="str">
        <f t="shared" si="7"/>
        <v/>
      </c>
      <c r="O27" s="1709" t="str">
        <f t="shared" si="8"/>
        <v/>
      </c>
      <c r="P27" s="1710" t="str">
        <f t="shared" si="9"/>
        <v/>
      </c>
      <c r="Q27" s="1705" t="str">
        <f t="shared" si="10"/>
        <v/>
      </c>
      <c r="R27" s="1709" t="str">
        <f t="shared" si="11"/>
        <v/>
      </c>
      <c r="S27" s="1711" t="str">
        <f t="shared" si="12"/>
        <v/>
      </c>
      <c r="T27" s="1714" t="str">
        <f t="shared" si="114"/>
        <v/>
      </c>
      <c r="U27" s="1709" t="str">
        <f t="shared" si="115"/>
        <v/>
      </c>
      <c r="V27" s="1705" t="str">
        <f t="shared" si="116"/>
        <v/>
      </c>
      <c r="W27" s="1709" t="str">
        <f t="shared" si="117"/>
        <v/>
      </c>
      <c r="X27" s="1713">
        <f t="shared" si="118"/>
        <v>0</v>
      </c>
      <c r="Y27" s="1781" t="str">
        <f t="shared" si="13"/>
        <v/>
      </c>
      <c r="Z27" s="1782" t="str">
        <f t="shared" si="14"/>
        <v/>
      </c>
      <c r="AA27" s="1783" t="s">
        <v>116</v>
      </c>
      <c r="AB27" s="1413"/>
      <c r="AC27" s="964" t="b">
        <v>0</v>
      </c>
      <c r="AD27" s="441">
        <f t="shared" si="15"/>
        <v>0</v>
      </c>
      <c r="AE27" s="442">
        <f t="shared" si="16"/>
        <v>0</v>
      </c>
      <c r="AF27" s="442">
        <f t="shared" si="17"/>
        <v>0</v>
      </c>
      <c r="AG27" s="442">
        <f t="shared" si="18"/>
        <v>0</v>
      </c>
      <c r="AH27" s="443">
        <f t="shared" si="19"/>
        <v>0</v>
      </c>
      <c r="AI27" s="444" t="b">
        <v>0</v>
      </c>
      <c r="AJ27" s="238">
        <f t="shared" si="20"/>
        <v>0</v>
      </c>
      <c r="AK27" s="830" t="str">
        <f t="shared" si="21"/>
        <v/>
      </c>
      <c r="AL27" s="945" t="str">
        <f t="shared" si="22"/>
        <v/>
      </c>
      <c r="AM27" s="830" t="str">
        <f t="shared" si="23"/>
        <v/>
      </c>
      <c r="AN27" s="830" t="str">
        <f t="shared" si="24"/>
        <v/>
      </c>
      <c r="AO27" s="830" t="str">
        <f t="shared" si="25"/>
        <v/>
      </c>
      <c r="AP27" s="830" t="b">
        <f>IF(ISERROR(AJ27),FALSE,IF(OR(AJ27=0,ISERROR(AL27),ISERROR(AM27),ISERROR(AN27),ISERROR(AO27)),FALSE,IF(AL27&lt;&gt;"",IF(ISERROR(VLOOKUP(SUBSTITUTE(SUBSTITUTE(C27,"R",""),"A",""),TblJoistSize!$A:$A,1,FALSE)),FALSE,TRUE),TRUE)))</f>
        <v>0</v>
      </c>
      <c r="AQ27" s="1038" t="e">
        <f t="shared" si="26"/>
        <v>#N/A</v>
      </c>
      <c r="AR27" s="945" t="b">
        <f t="shared" si="27"/>
        <v>0</v>
      </c>
      <c r="AS27" s="1038" t="e">
        <f t="shared" si="28"/>
        <v>#N/A</v>
      </c>
      <c r="AT27" s="945" t="b">
        <f t="shared" si="29"/>
        <v>0</v>
      </c>
      <c r="AU27" s="946" t="str">
        <f t="shared" si="30"/>
        <v/>
      </c>
      <c r="AV27" s="830" t="str">
        <f t="shared" si="31"/>
        <v/>
      </c>
      <c r="AW27" s="830" t="str">
        <f t="shared" si="32"/>
        <v/>
      </c>
      <c r="AX27" s="830" t="str">
        <f t="shared" si="106"/>
        <v/>
      </c>
      <c r="AY27" s="1039" t="b">
        <f t="shared" si="33"/>
        <v>0</v>
      </c>
      <c r="AZ27" s="856" t="str">
        <f t="shared" si="34"/>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t="str">
        <f t="shared" si="47"/>
        <v/>
      </c>
      <c r="CS27" s="751" t="str">
        <f t="shared" si="48"/>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e">
        <f t="shared" si="70"/>
        <v>#N/A</v>
      </c>
      <c r="EI27" s="856" t="e">
        <f t="shared" si="71"/>
        <v>#N/A</v>
      </c>
      <c r="EJ27" s="822" t="str">
        <f t="shared" si="72"/>
        <v/>
      </c>
      <c r="EK27" s="822" t="str">
        <f t="shared" si="72"/>
        <v/>
      </c>
      <c r="EL27" s="1293" t="str">
        <f t="shared" si="73"/>
        <v/>
      </c>
      <c r="EM27" s="822" t="str">
        <f t="shared" si="74"/>
        <v/>
      </c>
      <c r="EN27" s="822" t="str">
        <f t="shared" si="75"/>
        <v/>
      </c>
      <c r="EO27" s="856" t="e">
        <f t="shared" si="76"/>
        <v>#N/A</v>
      </c>
      <c r="EP27" s="856" t="e">
        <f t="shared" si="77"/>
        <v>#N/A</v>
      </c>
      <c r="EQ27" s="1293" t="str">
        <f t="shared" si="78"/>
        <v/>
      </c>
      <c r="ER27" s="822" t="str">
        <f t="shared" si="78"/>
        <v/>
      </c>
      <c r="ES27" s="822" t="str">
        <f t="shared" si="79"/>
        <v/>
      </c>
      <c r="ET27" s="822" t="str">
        <f t="shared" si="80"/>
        <v/>
      </c>
      <c r="EU27" s="829" t="str">
        <f t="shared" si="81"/>
        <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t="str">
        <f t="shared" si="119"/>
        <v/>
      </c>
      <c r="GB27" s="1792" t="str">
        <f t="shared" si="120"/>
        <v/>
      </c>
      <c r="GC27" s="1793" t="str">
        <f t="shared" si="121"/>
        <v/>
      </c>
      <c r="GD27" s="1794" t="str">
        <f t="shared" si="122"/>
        <v/>
      </c>
      <c r="GE27" s="1795" t="str">
        <f t="shared" si="102"/>
        <v/>
      </c>
      <c r="GF27" s="600" t="str">
        <f t="shared" si="103"/>
        <v/>
      </c>
      <c r="GG27" s="1130"/>
      <c r="GH27" s="1131"/>
      <c r="GI27" s="1130"/>
      <c r="GJ27" s="1131"/>
      <c r="GK27" s="1638">
        <f t="shared" si="104"/>
        <v>0</v>
      </c>
      <c r="GL27" s="1636" t="e">
        <f t="shared" si="105"/>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09"/>
        <v/>
      </c>
      <c r="B28" s="1681"/>
      <c r="C28" s="1449" t="str">
        <f t="shared" si="110"/>
        <v/>
      </c>
      <c r="D28" s="1705" t="str">
        <f t="shared" si="111"/>
        <v/>
      </c>
      <c r="E28" s="1706" t="str">
        <f t="shared" si="112"/>
        <v/>
      </c>
      <c r="F28" s="1714" t="str">
        <f t="shared" si="1"/>
        <v/>
      </c>
      <c r="G28" s="1709" t="str">
        <f t="shared" si="2"/>
        <v/>
      </c>
      <c r="H28" s="1779" t="str">
        <f t="shared" si="3"/>
        <v/>
      </c>
      <c r="I28" s="1705" t="str">
        <f t="shared" si="4"/>
        <v/>
      </c>
      <c r="J28" s="1709" t="str">
        <f t="shared" si="5"/>
        <v/>
      </c>
      <c r="K28" s="1796" t="str">
        <f t="shared" si="6"/>
        <v/>
      </c>
      <c r="L28" s="1712" t="str">
        <f t="shared" si="113"/>
        <v/>
      </c>
      <c r="M28" s="1713" t="str">
        <f t="shared" si="113"/>
        <v/>
      </c>
      <c r="N28" s="1708" t="str">
        <f t="shared" si="7"/>
        <v/>
      </c>
      <c r="O28" s="1709" t="str">
        <f t="shared" si="8"/>
        <v/>
      </c>
      <c r="P28" s="1710" t="str">
        <f t="shared" si="9"/>
        <v/>
      </c>
      <c r="Q28" s="1705" t="str">
        <f t="shared" si="10"/>
        <v/>
      </c>
      <c r="R28" s="1709" t="str">
        <f t="shared" si="11"/>
        <v/>
      </c>
      <c r="S28" s="1711" t="str">
        <f t="shared" si="12"/>
        <v/>
      </c>
      <c r="T28" s="1714" t="str">
        <f t="shared" si="114"/>
        <v/>
      </c>
      <c r="U28" s="1709" t="str">
        <f t="shared" si="115"/>
        <v/>
      </c>
      <c r="V28" s="1705" t="str">
        <f t="shared" si="116"/>
        <v/>
      </c>
      <c r="W28" s="1709" t="str">
        <f t="shared" si="117"/>
        <v/>
      </c>
      <c r="X28" s="1713">
        <f t="shared" si="118"/>
        <v>0</v>
      </c>
      <c r="Y28" s="1781" t="str">
        <f t="shared" si="13"/>
        <v/>
      </c>
      <c r="Z28" s="1782" t="str">
        <f t="shared" si="14"/>
        <v/>
      </c>
      <c r="AA28" s="1783" t="s">
        <v>116</v>
      </c>
      <c r="AB28" s="1413"/>
      <c r="AC28" s="964" t="b">
        <v>0</v>
      </c>
      <c r="AD28" s="441">
        <f t="shared" si="15"/>
        <v>0</v>
      </c>
      <c r="AE28" s="442">
        <f t="shared" si="16"/>
        <v>0</v>
      </c>
      <c r="AF28" s="442">
        <f t="shared" si="17"/>
        <v>0</v>
      </c>
      <c r="AG28" s="442">
        <f t="shared" si="18"/>
        <v>0</v>
      </c>
      <c r="AH28" s="443">
        <f t="shared" si="19"/>
        <v>0</v>
      </c>
      <c r="AI28" s="444" t="b">
        <v>0</v>
      </c>
      <c r="AJ28" s="238">
        <f t="shared" si="20"/>
        <v>0</v>
      </c>
      <c r="AK28" s="830" t="str">
        <f t="shared" si="21"/>
        <v/>
      </c>
      <c r="AL28" s="945" t="str">
        <f t="shared" si="22"/>
        <v/>
      </c>
      <c r="AM28" s="830" t="str">
        <f t="shared" si="23"/>
        <v/>
      </c>
      <c r="AN28" s="830" t="str">
        <f t="shared" si="24"/>
        <v/>
      </c>
      <c r="AO28" s="830" t="str">
        <f t="shared" si="25"/>
        <v/>
      </c>
      <c r="AP28" s="830" t="b">
        <f>IF(ISERROR(AJ28),FALSE,IF(OR(AJ28=0,ISERROR(AL28),ISERROR(AM28),ISERROR(AN28),ISERROR(AO28)),FALSE,IF(AL28&lt;&gt;"",IF(ISERROR(VLOOKUP(SUBSTITUTE(SUBSTITUTE(C28,"R",""),"A",""),TblJoistSize!$A:$A,1,FALSE)),FALSE,TRUE),TRUE)))</f>
        <v>0</v>
      </c>
      <c r="AQ28" s="1038" t="e">
        <f t="shared" si="26"/>
        <v>#N/A</v>
      </c>
      <c r="AR28" s="945" t="b">
        <f t="shared" si="27"/>
        <v>0</v>
      </c>
      <c r="AS28" s="1038" t="e">
        <f t="shared" si="28"/>
        <v>#N/A</v>
      </c>
      <c r="AT28" s="945" t="b">
        <f t="shared" si="29"/>
        <v>0</v>
      </c>
      <c r="AU28" s="946" t="str">
        <f t="shared" si="30"/>
        <v/>
      </c>
      <c r="AV28" s="830" t="str">
        <f t="shared" si="31"/>
        <v/>
      </c>
      <c r="AW28" s="830" t="str">
        <f t="shared" si="32"/>
        <v/>
      </c>
      <c r="AX28" s="830" t="str">
        <f t="shared" si="106"/>
        <v/>
      </c>
      <c r="AY28" s="1039" t="b">
        <f t="shared" si="33"/>
        <v>0</v>
      </c>
      <c r="AZ28" s="856" t="str">
        <f t="shared" si="34"/>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t="str">
        <f t="shared" si="47"/>
        <v/>
      </c>
      <c r="CS28" s="751" t="str">
        <f t="shared" si="48"/>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e">
        <f t="shared" si="70"/>
        <v>#N/A</v>
      </c>
      <c r="EI28" s="856" t="e">
        <f t="shared" si="71"/>
        <v>#N/A</v>
      </c>
      <c r="EJ28" s="822" t="str">
        <f t="shared" si="72"/>
        <v/>
      </c>
      <c r="EK28" s="822" t="str">
        <f t="shared" si="72"/>
        <v/>
      </c>
      <c r="EL28" s="1293" t="str">
        <f t="shared" si="73"/>
        <v/>
      </c>
      <c r="EM28" s="822" t="str">
        <f t="shared" si="74"/>
        <v/>
      </c>
      <c r="EN28" s="822" t="str">
        <f t="shared" si="75"/>
        <v/>
      </c>
      <c r="EO28" s="856" t="e">
        <f t="shared" si="76"/>
        <v>#N/A</v>
      </c>
      <c r="EP28" s="856" t="e">
        <f t="shared" si="77"/>
        <v>#N/A</v>
      </c>
      <c r="EQ28" s="1293" t="str">
        <f t="shared" si="78"/>
        <v/>
      </c>
      <c r="ER28" s="822" t="str">
        <f t="shared" si="78"/>
        <v/>
      </c>
      <c r="ES28" s="822" t="str">
        <f t="shared" si="79"/>
        <v/>
      </c>
      <c r="ET28" s="822" t="str">
        <f t="shared" si="80"/>
        <v/>
      </c>
      <c r="EU28" s="829" t="str">
        <f t="shared" si="81"/>
        <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t="str">
        <f t="shared" si="119"/>
        <v/>
      </c>
      <c r="GB28" s="1792" t="str">
        <f t="shared" si="120"/>
        <v/>
      </c>
      <c r="GC28" s="1793" t="str">
        <f t="shared" si="121"/>
        <v/>
      </c>
      <c r="GD28" s="1794" t="str">
        <f t="shared" si="122"/>
        <v/>
      </c>
      <c r="GE28" s="1795" t="str">
        <f t="shared" si="102"/>
        <v/>
      </c>
      <c r="GF28" s="600" t="str">
        <f t="shared" si="103"/>
        <v/>
      </c>
      <c r="GG28" s="1130"/>
      <c r="GH28" s="1131"/>
      <c r="GI28" s="1130"/>
      <c r="GJ28" s="1131"/>
      <c r="GK28" s="1638">
        <f t="shared" si="104"/>
        <v>0</v>
      </c>
      <c r="GL28" s="1636" t="e">
        <f t="shared" si="105"/>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09"/>
        <v/>
      </c>
      <c r="B29" s="1681"/>
      <c r="C29" s="1449" t="str">
        <f t="shared" si="110"/>
        <v/>
      </c>
      <c r="D29" s="1705" t="str">
        <f t="shared" si="111"/>
        <v/>
      </c>
      <c r="E29" s="1706" t="str">
        <f t="shared" si="112"/>
        <v/>
      </c>
      <c r="F29" s="1714" t="str">
        <f t="shared" si="1"/>
        <v/>
      </c>
      <c r="G29" s="1709" t="str">
        <f t="shared" si="2"/>
        <v/>
      </c>
      <c r="H29" s="1779" t="str">
        <f t="shared" si="3"/>
        <v/>
      </c>
      <c r="I29" s="1705" t="str">
        <f t="shared" si="4"/>
        <v/>
      </c>
      <c r="J29" s="1709" t="str">
        <f t="shared" si="5"/>
        <v/>
      </c>
      <c r="K29" s="1796" t="str">
        <f t="shared" si="6"/>
        <v/>
      </c>
      <c r="L29" s="1712" t="str">
        <f t="shared" si="113"/>
        <v/>
      </c>
      <c r="M29" s="1713" t="str">
        <f t="shared" si="113"/>
        <v/>
      </c>
      <c r="N29" s="1708" t="str">
        <f t="shared" si="7"/>
        <v/>
      </c>
      <c r="O29" s="1709" t="str">
        <f t="shared" si="8"/>
        <v/>
      </c>
      <c r="P29" s="1710" t="str">
        <f t="shared" si="9"/>
        <v/>
      </c>
      <c r="Q29" s="1705" t="str">
        <f t="shared" si="10"/>
        <v/>
      </c>
      <c r="R29" s="1709" t="str">
        <f t="shared" si="11"/>
        <v/>
      </c>
      <c r="S29" s="1711" t="str">
        <f t="shared" si="12"/>
        <v/>
      </c>
      <c r="T29" s="1714" t="str">
        <f t="shared" si="114"/>
        <v/>
      </c>
      <c r="U29" s="1709" t="str">
        <f t="shared" si="115"/>
        <v/>
      </c>
      <c r="V29" s="1705" t="str">
        <f t="shared" si="116"/>
        <v/>
      </c>
      <c r="W29" s="1709" t="str">
        <f t="shared" si="117"/>
        <v/>
      </c>
      <c r="X29" s="1713">
        <f t="shared" si="118"/>
        <v>0</v>
      </c>
      <c r="Y29" s="1781" t="str">
        <f t="shared" si="13"/>
        <v/>
      </c>
      <c r="Z29" s="1782" t="str">
        <f t="shared" si="14"/>
        <v/>
      </c>
      <c r="AA29" s="1783" t="s">
        <v>116</v>
      </c>
      <c r="AB29" s="1413"/>
      <c r="AC29" s="964" t="b">
        <v>0</v>
      </c>
      <c r="AD29" s="441">
        <f t="shared" si="15"/>
        <v>0</v>
      </c>
      <c r="AE29" s="442">
        <f t="shared" si="16"/>
        <v>0</v>
      </c>
      <c r="AF29" s="442">
        <f t="shared" si="17"/>
        <v>0</v>
      </c>
      <c r="AG29" s="442">
        <f t="shared" si="18"/>
        <v>0</v>
      </c>
      <c r="AH29" s="443">
        <f t="shared" si="19"/>
        <v>0</v>
      </c>
      <c r="AI29" s="444" t="b">
        <v>0</v>
      </c>
      <c r="AJ29" s="238">
        <f t="shared" si="20"/>
        <v>0</v>
      </c>
      <c r="AK29" s="830" t="str">
        <f t="shared" si="21"/>
        <v/>
      </c>
      <c r="AL29" s="945" t="str">
        <f t="shared" si="22"/>
        <v/>
      </c>
      <c r="AM29" s="830" t="str">
        <f t="shared" si="23"/>
        <v/>
      </c>
      <c r="AN29" s="830" t="str">
        <f t="shared" si="24"/>
        <v/>
      </c>
      <c r="AO29" s="830" t="str">
        <f t="shared" si="25"/>
        <v/>
      </c>
      <c r="AP29" s="830" t="b">
        <f>IF(ISERROR(AJ29),FALSE,IF(OR(AJ29=0,ISERROR(AL29),ISERROR(AM29),ISERROR(AN29),ISERROR(AO29)),FALSE,IF(AL29&lt;&gt;"",IF(ISERROR(VLOOKUP(SUBSTITUTE(SUBSTITUTE(C29,"R",""),"A",""),TblJoistSize!$A:$A,1,FALSE)),FALSE,TRUE),TRUE)))</f>
        <v>0</v>
      </c>
      <c r="AQ29" s="1038" t="e">
        <f t="shared" si="26"/>
        <v>#N/A</v>
      </c>
      <c r="AR29" s="945" t="b">
        <f t="shared" si="27"/>
        <v>0</v>
      </c>
      <c r="AS29" s="1038" t="e">
        <f t="shared" si="28"/>
        <v>#N/A</v>
      </c>
      <c r="AT29" s="945" t="b">
        <f t="shared" si="29"/>
        <v>0</v>
      </c>
      <c r="AU29" s="946" t="str">
        <f t="shared" si="30"/>
        <v/>
      </c>
      <c r="AV29" s="830" t="str">
        <f t="shared" si="31"/>
        <v/>
      </c>
      <c r="AW29" s="830" t="str">
        <f t="shared" si="32"/>
        <v/>
      </c>
      <c r="AX29" s="830" t="str">
        <f t="shared" si="106"/>
        <v/>
      </c>
      <c r="AY29" s="1039" t="b">
        <f t="shared" si="33"/>
        <v>0</v>
      </c>
      <c r="AZ29" s="856" t="str">
        <f t="shared" si="34"/>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t="str">
        <f t="shared" si="47"/>
        <v/>
      </c>
      <c r="CS29" s="751" t="str">
        <f t="shared" si="48"/>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e">
        <f t="shared" si="70"/>
        <v>#N/A</v>
      </c>
      <c r="EI29" s="856" t="e">
        <f t="shared" si="71"/>
        <v>#N/A</v>
      </c>
      <c r="EJ29" s="822" t="str">
        <f t="shared" si="72"/>
        <v/>
      </c>
      <c r="EK29" s="822" t="str">
        <f t="shared" si="72"/>
        <v/>
      </c>
      <c r="EL29" s="1293" t="str">
        <f t="shared" si="73"/>
        <v/>
      </c>
      <c r="EM29" s="822" t="str">
        <f t="shared" si="74"/>
        <v/>
      </c>
      <c r="EN29" s="822" t="str">
        <f t="shared" si="75"/>
        <v/>
      </c>
      <c r="EO29" s="856" t="e">
        <f t="shared" si="76"/>
        <v>#N/A</v>
      </c>
      <c r="EP29" s="856" t="e">
        <f t="shared" si="77"/>
        <v>#N/A</v>
      </c>
      <c r="EQ29" s="1293" t="str">
        <f t="shared" si="78"/>
        <v/>
      </c>
      <c r="ER29" s="822" t="str">
        <f t="shared" si="78"/>
        <v/>
      </c>
      <c r="ES29" s="822" t="str">
        <f t="shared" si="79"/>
        <v/>
      </c>
      <c r="ET29" s="822" t="str">
        <f t="shared" si="80"/>
        <v/>
      </c>
      <c r="EU29" s="829" t="str">
        <f t="shared" si="81"/>
        <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t="str">
        <f t="shared" si="119"/>
        <v/>
      </c>
      <c r="GB29" s="1792" t="str">
        <f t="shared" si="120"/>
        <v/>
      </c>
      <c r="GC29" s="1793" t="str">
        <f t="shared" si="121"/>
        <v/>
      </c>
      <c r="GD29" s="1794" t="str">
        <f t="shared" si="122"/>
        <v/>
      </c>
      <c r="GE29" s="1795" t="str">
        <f t="shared" si="102"/>
        <v/>
      </c>
      <c r="GF29" s="600" t="str">
        <f t="shared" si="103"/>
        <v/>
      </c>
      <c r="GG29" s="1130"/>
      <c r="GH29" s="1131"/>
      <c r="GI29" s="1130"/>
      <c r="GJ29" s="1131"/>
      <c r="GK29" s="1638">
        <f t="shared" si="104"/>
        <v>0</v>
      </c>
      <c r="GL29" s="1636" t="e">
        <f t="shared" si="105"/>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09"/>
        <v/>
      </c>
      <c r="B30" s="1681"/>
      <c r="C30" s="1449" t="str">
        <f t="shared" si="110"/>
        <v/>
      </c>
      <c r="D30" s="1705" t="str">
        <f t="shared" si="111"/>
        <v/>
      </c>
      <c r="E30" s="1706" t="str">
        <f t="shared" si="112"/>
        <v/>
      </c>
      <c r="F30" s="1714" t="str">
        <f t="shared" si="1"/>
        <v/>
      </c>
      <c r="G30" s="1709" t="str">
        <f t="shared" si="2"/>
        <v/>
      </c>
      <c r="H30" s="1779" t="str">
        <f t="shared" si="3"/>
        <v/>
      </c>
      <c r="I30" s="1705" t="str">
        <f t="shared" si="4"/>
        <v/>
      </c>
      <c r="J30" s="1709" t="str">
        <f t="shared" si="5"/>
        <v/>
      </c>
      <c r="K30" s="1796" t="str">
        <f t="shared" si="6"/>
        <v/>
      </c>
      <c r="L30" s="1712" t="str">
        <f t="shared" si="113"/>
        <v/>
      </c>
      <c r="M30" s="1713" t="str">
        <f t="shared" si="113"/>
        <v/>
      </c>
      <c r="N30" s="1708" t="str">
        <f t="shared" si="7"/>
        <v/>
      </c>
      <c r="O30" s="1709" t="str">
        <f t="shared" si="8"/>
        <v/>
      </c>
      <c r="P30" s="1710" t="str">
        <f t="shared" si="9"/>
        <v/>
      </c>
      <c r="Q30" s="1705" t="str">
        <f t="shared" si="10"/>
        <v/>
      </c>
      <c r="R30" s="1709" t="str">
        <f t="shared" si="11"/>
        <v/>
      </c>
      <c r="S30" s="1711" t="str">
        <f t="shared" si="12"/>
        <v/>
      </c>
      <c r="T30" s="1714" t="str">
        <f t="shared" si="114"/>
        <v/>
      </c>
      <c r="U30" s="1709" t="str">
        <f t="shared" si="115"/>
        <v/>
      </c>
      <c r="V30" s="1705" t="str">
        <f t="shared" si="116"/>
        <v/>
      </c>
      <c r="W30" s="1709" t="str">
        <f t="shared" si="117"/>
        <v/>
      </c>
      <c r="X30" s="1713">
        <f t="shared" si="118"/>
        <v>0</v>
      </c>
      <c r="Y30" s="1781" t="str">
        <f t="shared" si="13"/>
        <v/>
      </c>
      <c r="Z30" s="1782" t="str">
        <f t="shared" si="14"/>
        <v/>
      </c>
      <c r="AA30" s="1783" t="s">
        <v>116</v>
      </c>
      <c r="AB30" s="1413"/>
      <c r="AC30" s="964" t="b">
        <v>0</v>
      </c>
      <c r="AD30" s="441">
        <f t="shared" si="15"/>
        <v>0</v>
      </c>
      <c r="AE30" s="442">
        <f t="shared" si="16"/>
        <v>0</v>
      </c>
      <c r="AF30" s="442">
        <f t="shared" si="17"/>
        <v>0</v>
      </c>
      <c r="AG30" s="442">
        <f t="shared" si="18"/>
        <v>0</v>
      </c>
      <c r="AH30" s="443">
        <f t="shared" si="19"/>
        <v>0</v>
      </c>
      <c r="AI30" s="444" t="b">
        <v>0</v>
      </c>
      <c r="AJ30" s="238">
        <f t="shared" si="20"/>
        <v>0</v>
      </c>
      <c r="AK30" s="830" t="str">
        <f t="shared" si="21"/>
        <v/>
      </c>
      <c r="AL30" s="945" t="str">
        <f t="shared" si="22"/>
        <v/>
      </c>
      <c r="AM30" s="830" t="str">
        <f t="shared" si="23"/>
        <v/>
      </c>
      <c r="AN30" s="830" t="str">
        <f t="shared" si="24"/>
        <v/>
      </c>
      <c r="AO30" s="830" t="str">
        <f t="shared" si="25"/>
        <v/>
      </c>
      <c r="AP30" s="830" t="b">
        <f>IF(ISERROR(AJ30),FALSE,IF(OR(AJ30=0,ISERROR(AL30),ISERROR(AM30),ISERROR(AN30),ISERROR(AO30)),FALSE,IF(AL30&lt;&gt;"",IF(ISERROR(VLOOKUP(SUBSTITUTE(SUBSTITUTE(C30,"R",""),"A",""),TblJoistSize!$A:$A,1,FALSE)),FALSE,TRUE),TRUE)))</f>
        <v>0</v>
      </c>
      <c r="AQ30" s="1038" t="e">
        <f t="shared" si="26"/>
        <v>#N/A</v>
      </c>
      <c r="AR30" s="945" t="b">
        <f t="shared" si="27"/>
        <v>0</v>
      </c>
      <c r="AS30" s="1038" t="e">
        <f t="shared" si="28"/>
        <v>#N/A</v>
      </c>
      <c r="AT30" s="945" t="b">
        <f t="shared" si="29"/>
        <v>0</v>
      </c>
      <c r="AU30" s="946" t="str">
        <f t="shared" si="30"/>
        <v/>
      </c>
      <c r="AV30" s="830" t="str">
        <f t="shared" si="31"/>
        <v/>
      </c>
      <c r="AW30" s="830" t="str">
        <f t="shared" si="32"/>
        <v/>
      </c>
      <c r="AX30" s="830" t="str">
        <f t="shared" si="106"/>
        <v/>
      </c>
      <c r="AY30" s="1039" t="b">
        <f t="shared" si="33"/>
        <v>0</v>
      </c>
      <c r="AZ30" s="856" t="str">
        <f t="shared" si="34"/>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t="str">
        <f t="shared" si="47"/>
        <v/>
      </c>
      <c r="CS30" s="751" t="str">
        <f t="shared" si="48"/>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e">
        <f t="shared" si="70"/>
        <v>#N/A</v>
      </c>
      <c r="EI30" s="856" t="e">
        <f t="shared" si="71"/>
        <v>#N/A</v>
      </c>
      <c r="EJ30" s="822" t="str">
        <f t="shared" si="72"/>
        <v/>
      </c>
      <c r="EK30" s="822" t="str">
        <f t="shared" si="72"/>
        <v/>
      </c>
      <c r="EL30" s="1293" t="str">
        <f t="shared" si="73"/>
        <v/>
      </c>
      <c r="EM30" s="822" t="str">
        <f t="shared" si="74"/>
        <v/>
      </c>
      <c r="EN30" s="822" t="str">
        <f t="shared" si="75"/>
        <v/>
      </c>
      <c r="EO30" s="856" t="e">
        <f t="shared" si="76"/>
        <v>#N/A</v>
      </c>
      <c r="EP30" s="856" t="e">
        <f t="shared" si="77"/>
        <v>#N/A</v>
      </c>
      <c r="EQ30" s="1293" t="str">
        <f t="shared" si="78"/>
        <v/>
      </c>
      <c r="ER30" s="822" t="str">
        <f t="shared" si="78"/>
        <v/>
      </c>
      <c r="ES30" s="822" t="str">
        <f t="shared" si="79"/>
        <v/>
      </c>
      <c r="ET30" s="822" t="str">
        <f t="shared" si="80"/>
        <v/>
      </c>
      <c r="EU30" s="829" t="str">
        <f t="shared" si="81"/>
        <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t="str">
        <f t="shared" si="119"/>
        <v/>
      </c>
      <c r="GB30" s="1792" t="str">
        <f t="shared" si="120"/>
        <v/>
      </c>
      <c r="GC30" s="1793" t="str">
        <f t="shared" si="121"/>
        <v/>
      </c>
      <c r="GD30" s="1794" t="str">
        <f t="shared" si="122"/>
        <v/>
      </c>
      <c r="GE30" s="1795" t="str">
        <f t="shared" si="102"/>
        <v/>
      </c>
      <c r="GF30" s="600" t="str">
        <f t="shared" si="103"/>
        <v/>
      </c>
      <c r="GG30" s="1130"/>
      <c r="GH30" s="1131"/>
      <c r="GI30" s="1130"/>
      <c r="GJ30" s="1131"/>
      <c r="GK30" s="1638">
        <f t="shared" si="104"/>
        <v>0</v>
      </c>
      <c r="GL30" s="1636" t="e">
        <f t="shared" si="105"/>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09"/>
        <v/>
      </c>
      <c r="B31" s="1681"/>
      <c r="C31" s="1449" t="str">
        <f t="shared" si="110"/>
        <v/>
      </c>
      <c r="D31" s="1705" t="str">
        <f t="shared" si="111"/>
        <v/>
      </c>
      <c r="E31" s="1706" t="str">
        <f t="shared" si="112"/>
        <v/>
      </c>
      <c r="F31" s="1714" t="str">
        <f t="shared" si="1"/>
        <v/>
      </c>
      <c r="G31" s="1709" t="str">
        <f t="shared" si="2"/>
        <v/>
      </c>
      <c r="H31" s="1779" t="str">
        <f t="shared" si="3"/>
        <v/>
      </c>
      <c r="I31" s="1705" t="str">
        <f t="shared" si="4"/>
        <v/>
      </c>
      <c r="J31" s="1709" t="str">
        <f t="shared" si="5"/>
        <v/>
      </c>
      <c r="K31" s="1796" t="str">
        <f t="shared" si="6"/>
        <v/>
      </c>
      <c r="L31" s="1712" t="str">
        <f t="shared" si="113"/>
        <v/>
      </c>
      <c r="M31" s="1713" t="str">
        <f t="shared" si="113"/>
        <v/>
      </c>
      <c r="N31" s="1708" t="str">
        <f t="shared" si="7"/>
        <v/>
      </c>
      <c r="O31" s="1709" t="str">
        <f t="shared" si="8"/>
        <v/>
      </c>
      <c r="P31" s="1710" t="str">
        <f t="shared" si="9"/>
        <v/>
      </c>
      <c r="Q31" s="1705" t="str">
        <f t="shared" si="10"/>
        <v/>
      </c>
      <c r="R31" s="1709" t="str">
        <f t="shared" si="11"/>
        <v/>
      </c>
      <c r="S31" s="1711" t="str">
        <f t="shared" si="12"/>
        <v/>
      </c>
      <c r="T31" s="1714" t="str">
        <f t="shared" si="114"/>
        <v/>
      </c>
      <c r="U31" s="1709" t="str">
        <f t="shared" si="115"/>
        <v/>
      </c>
      <c r="V31" s="1705" t="str">
        <f t="shared" si="116"/>
        <v/>
      </c>
      <c r="W31" s="1709" t="str">
        <f t="shared" si="117"/>
        <v/>
      </c>
      <c r="X31" s="1713">
        <f t="shared" si="118"/>
        <v>0</v>
      </c>
      <c r="Y31" s="1781" t="str">
        <f t="shared" si="13"/>
        <v/>
      </c>
      <c r="Z31" s="1782" t="str">
        <f t="shared" si="14"/>
        <v/>
      </c>
      <c r="AA31" s="1783" t="s">
        <v>116</v>
      </c>
      <c r="AB31" s="1413"/>
      <c r="AC31" s="964" t="b">
        <v>0</v>
      </c>
      <c r="AD31" s="441">
        <f t="shared" si="15"/>
        <v>0</v>
      </c>
      <c r="AE31" s="442">
        <f t="shared" si="16"/>
        <v>0</v>
      </c>
      <c r="AF31" s="442">
        <f t="shared" si="17"/>
        <v>0</v>
      </c>
      <c r="AG31" s="442">
        <f t="shared" si="18"/>
        <v>0</v>
      </c>
      <c r="AH31" s="443">
        <f t="shared" si="19"/>
        <v>0</v>
      </c>
      <c r="AI31" s="444" t="b">
        <v>0</v>
      </c>
      <c r="AJ31" s="238">
        <f t="shared" si="20"/>
        <v>0</v>
      </c>
      <c r="AK31" s="830" t="str">
        <f t="shared" si="21"/>
        <v/>
      </c>
      <c r="AL31" s="945" t="str">
        <f t="shared" si="22"/>
        <v/>
      </c>
      <c r="AM31" s="830" t="str">
        <f t="shared" si="23"/>
        <v/>
      </c>
      <c r="AN31" s="830" t="str">
        <f t="shared" si="24"/>
        <v/>
      </c>
      <c r="AO31" s="830" t="str">
        <f t="shared" si="25"/>
        <v/>
      </c>
      <c r="AP31" s="830" t="b">
        <f>IF(ISERROR(AJ31),FALSE,IF(OR(AJ31=0,ISERROR(AL31),ISERROR(AM31),ISERROR(AN31),ISERROR(AO31)),FALSE,IF(AL31&lt;&gt;"",IF(ISERROR(VLOOKUP(SUBSTITUTE(SUBSTITUTE(C31,"R",""),"A",""),TblJoistSize!$A:$A,1,FALSE)),FALSE,TRUE),TRUE)))</f>
        <v>0</v>
      </c>
      <c r="AQ31" s="1038" t="e">
        <f t="shared" si="26"/>
        <v>#N/A</v>
      </c>
      <c r="AR31" s="945" t="b">
        <f t="shared" si="27"/>
        <v>0</v>
      </c>
      <c r="AS31" s="1038" t="e">
        <f t="shared" si="28"/>
        <v>#N/A</v>
      </c>
      <c r="AT31" s="945" t="b">
        <f t="shared" si="29"/>
        <v>0</v>
      </c>
      <c r="AU31" s="946" t="str">
        <f t="shared" si="30"/>
        <v/>
      </c>
      <c r="AV31" s="830" t="str">
        <f t="shared" si="31"/>
        <v/>
      </c>
      <c r="AW31" s="830" t="str">
        <f t="shared" si="32"/>
        <v/>
      </c>
      <c r="AX31" s="830" t="str">
        <f t="shared" si="106"/>
        <v/>
      </c>
      <c r="AY31" s="1039" t="b">
        <f t="shared" si="33"/>
        <v>0</v>
      </c>
      <c r="AZ31" s="856" t="str">
        <f t="shared" si="34"/>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t="str">
        <f t="shared" si="47"/>
        <v/>
      </c>
      <c r="CS31" s="751" t="str">
        <f t="shared" si="48"/>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e">
        <f t="shared" si="70"/>
        <v>#N/A</v>
      </c>
      <c r="EI31" s="856" t="e">
        <f t="shared" si="71"/>
        <v>#N/A</v>
      </c>
      <c r="EJ31" s="822" t="str">
        <f t="shared" si="72"/>
        <v/>
      </c>
      <c r="EK31" s="822" t="str">
        <f t="shared" si="72"/>
        <v/>
      </c>
      <c r="EL31" s="1293" t="str">
        <f t="shared" si="73"/>
        <v/>
      </c>
      <c r="EM31" s="822" t="str">
        <f t="shared" si="74"/>
        <v/>
      </c>
      <c r="EN31" s="822" t="str">
        <f t="shared" si="75"/>
        <v/>
      </c>
      <c r="EO31" s="856" t="e">
        <f t="shared" si="76"/>
        <v>#N/A</v>
      </c>
      <c r="EP31" s="856" t="e">
        <f t="shared" si="77"/>
        <v>#N/A</v>
      </c>
      <c r="EQ31" s="1293" t="str">
        <f t="shared" si="78"/>
        <v/>
      </c>
      <c r="ER31" s="822" t="str">
        <f t="shared" si="78"/>
        <v/>
      </c>
      <c r="ES31" s="822" t="str">
        <f t="shared" si="79"/>
        <v/>
      </c>
      <c r="ET31" s="822" t="str">
        <f t="shared" si="80"/>
        <v/>
      </c>
      <c r="EU31" s="829" t="str">
        <f t="shared" si="81"/>
        <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t="str">
        <f t="shared" si="119"/>
        <v/>
      </c>
      <c r="GB31" s="1792" t="str">
        <f t="shared" si="120"/>
        <v/>
      </c>
      <c r="GC31" s="1793" t="str">
        <f t="shared" si="121"/>
        <v/>
      </c>
      <c r="GD31" s="1794" t="str">
        <f t="shared" si="122"/>
        <v/>
      </c>
      <c r="GE31" s="1795" t="str">
        <f t="shared" si="102"/>
        <v/>
      </c>
      <c r="GF31" s="600" t="str">
        <f t="shared" si="103"/>
        <v/>
      </c>
      <c r="GG31" s="1130"/>
      <c r="GH31" s="1131"/>
      <c r="GI31" s="1130"/>
      <c r="GJ31" s="1131"/>
      <c r="GK31" s="1638">
        <f t="shared" si="104"/>
        <v>0</v>
      </c>
      <c r="GL31" s="1636" t="e">
        <f t="shared" si="105"/>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09"/>
        <v/>
      </c>
      <c r="B32" s="1681"/>
      <c r="C32" s="1449" t="str">
        <f t="shared" si="110"/>
        <v/>
      </c>
      <c r="D32" s="1705" t="str">
        <f t="shared" si="111"/>
        <v/>
      </c>
      <c r="E32" s="1706" t="str">
        <f t="shared" si="112"/>
        <v/>
      </c>
      <c r="F32" s="1714" t="str">
        <f t="shared" si="1"/>
        <v/>
      </c>
      <c r="G32" s="1709" t="str">
        <f t="shared" si="2"/>
        <v/>
      </c>
      <c r="H32" s="1779" t="str">
        <f t="shared" si="3"/>
        <v/>
      </c>
      <c r="I32" s="1705" t="str">
        <f t="shared" si="4"/>
        <v/>
      </c>
      <c r="J32" s="1709" t="str">
        <f t="shared" si="5"/>
        <v/>
      </c>
      <c r="K32" s="1796" t="str">
        <f t="shared" si="6"/>
        <v/>
      </c>
      <c r="L32" s="1712" t="str">
        <f t="shared" si="113"/>
        <v/>
      </c>
      <c r="M32" s="1713" t="str">
        <f t="shared" si="113"/>
        <v/>
      </c>
      <c r="N32" s="1708" t="str">
        <f t="shared" si="7"/>
        <v/>
      </c>
      <c r="O32" s="1709" t="str">
        <f t="shared" si="8"/>
        <v/>
      </c>
      <c r="P32" s="1710" t="str">
        <f t="shared" si="9"/>
        <v/>
      </c>
      <c r="Q32" s="1705" t="str">
        <f t="shared" si="10"/>
        <v/>
      </c>
      <c r="R32" s="1709" t="str">
        <f t="shared" si="11"/>
        <v/>
      </c>
      <c r="S32" s="1711" t="str">
        <f t="shared" si="12"/>
        <v/>
      </c>
      <c r="T32" s="1714" t="str">
        <f t="shared" si="114"/>
        <v/>
      </c>
      <c r="U32" s="1709" t="str">
        <f t="shared" si="115"/>
        <v/>
      </c>
      <c r="V32" s="1705" t="str">
        <f t="shared" si="116"/>
        <v/>
      </c>
      <c r="W32" s="1709" t="str">
        <f t="shared" si="117"/>
        <v/>
      </c>
      <c r="X32" s="1713">
        <f t="shared" si="118"/>
        <v>0</v>
      </c>
      <c r="Y32" s="1781" t="str">
        <f t="shared" si="13"/>
        <v/>
      </c>
      <c r="Z32" s="1782" t="str">
        <f t="shared" si="14"/>
        <v/>
      </c>
      <c r="AA32" s="1783" t="s">
        <v>116</v>
      </c>
      <c r="AB32" s="1413"/>
      <c r="AC32" s="964" t="b">
        <v>0</v>
      </c>
      <c r="AD32" s="441">
        <f t="shared" si="15"/>
        <v>0</v>
      </c>
      <c r="AE32" s="442">
        <f t="shared" si="16"/>
        <v>0</v>
      </c>
      <c r="AF32" s="442">
        <f t="shared" si="17"/>
        <v>0</v>
      </c>
      <c r="AG32" s="442">
        <f t="shared" si="18"/>
        <v>0</v>
      </c>
      <c r="AH32" s="443">
        <f t="shared" si="19"/>
        <v>0</v>
      </c>
      <c r="AI32" s="444" t="b">
        <v>0</v>
      </c>
      <c r="AJ32" s="238">
        <f t="shared" si="20"/>
        <v>0</v>
      </c>
      <c r="AK32" s="830" t="str">
        <f t="shared" si="21"/>
        <v/>
      </c>
      <c r="AL32" s="945" t="str">
        <f t="shared" si="22"/>
        <v/>
      </c>
      <c r="AM32" s="830" t="str">
        <f t="shared" si="23"/>
        <v/>
      </c>
      <c r="AN32" s="830" t="str">
        <f t="shared" si="24"/>
        <v/>
      </c>
      <c r="AO32" s="830" t="str">
        <f t="shared" si="25"/>
        <v/>
      </c>
      <c r="AP32" s="830" t="b">
        <f>IF(ISERROR(AJ32),FALSE,IF(OR(AJ32=0,ISERROR(AL32),ISERROR(AM32),ISERROR(AN32),ISERROR(AO32)),FALSE,IF(AL32&lt;&gt;"",IF(ISERROR(VLOOKUP(SUBSTITUTE(SUBSTITUTE(C32,"R",""),"A",""),TblJoistSize!$A:$A,1,FALSE)),FALSE,TRUE),TRUE)))</f>
        <v>0</v>
      </c>
      <c r="AQ32" s="1038" t="e">
        <f t="shared" si="26"/>
        <v>#N/A</v>
      </c>
      <c r="AR32" s="945" t="b">
        <f t="shared" si="27"/>
        <v>0</v>
      </c>
      <c r="AS32" s="1038" t="e">
        <f t="shared" si="28"/>
        <v>#N/A</v>
      </c>
      <c r="AT32" s="945" t="b">
        <f t="shared" si="29"/>
        <v>0</v>
      </c>
      <c r="AU32" s="946" t="str">
        <f t="shared" si="30"/>
        <v/>
      </c>
      <c r="AV32" s="830" t="str">
        <f t="shared" si="31"/>
        <v/>
      </c>
      <c r="AW32" s="830" t="str">
        <f t="shared" si="32"/>
        <v/>
      </c>
      <c r="AX32" s="830" t="str">
        <f t="shared" si="106"/>
        <v/>
      </c>
      <c r="AY32" s="1039" t="b">
        <f t="shared" si="33"/>
        <v>0</v>
      </c>
      <c r="AZ32" s="856" t="str">
        <f t="shared" si="34"/>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t="str">
        <f t="shared" si="47"/>
        <v/>
      </c>
      <c r="CS32" s="751" t="str">
        <f t="shared" si="48"/>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e">
        <f t="shared" si="70"/>
        <v>#N/A</v>
      </c>
      <c r="EI32" s="856" t="e">
        <f t="shared" si="71"/>
        <v>#N/A</v>
      </c>
      <c r="EJ32" s="822" t="str">
        <f t="shared" si="72"/>
        <v/>
      </c>
      <c r="EK32" s="822" t="str">
        <f t="shared" si="72"/>
        <v/>
      </c>
      <c r="EL32" s="1293" t="str">
        <f t="shared" si="73"/>
        <v/>
      </c>
      <c r="EM32" s="822" t="str">
        <f t="shared" si="74"/>
        <v/>
      </c>
      <c r="EN32" s="822" t="str">
        <f t="shared" si="75"/>
        <v/>
      </c>
      <c r="EO32" s="856" t="e">
        <f t="shared" si="76"/>
        <v>#N/A</v>
      </c>
      <c r="EP32" s="856" t="e">
        <f t="shared" si="77"/>
        <v>#N/A</v>
      </c>
      <c r="EQ32" s="1293" t="str">
        <f t="shared" si="78"/>
        <v/>
      </c>
      <c r="ER32" s="822" t="str">
        <f t="shared" si="78"/>
        <v/>
      </c>
      <c r="ES32" s="822" t="str">
        <f t="shared" si="79"/>
        <v/>
      </c>
      <c r="ET32" s="822" t="str">
        <f t="shared" si="80"/>
        <v/>
      </c>
      <c r="EU32" s="829" t="str">
        <f t="shared" si="81"/>
        <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t="str">
        <f t="shared" si="119"/>
        <v/>
      </c>
      <c r="GB32" s="1792" t="str">
        <f t="shared" si="120"/>
        <v/>
      </c>
      <c r="GC32" s="1793" t="str">
        <f t="shared" si="121"/>
        <v/>
      </c>
      <c r="GD32" s="1794" t="str">
        <f t="shared" si="122"/>
        <v/>
      </c>
      <c r="GE32" s="1795" t="str">
        <f t="shared" si="102"/>
        <v/>
      </c>
      <c r="GF32" s="600" t="str">
        <f t="shared" si="103"/>
        <v/>
      </c>
      <c r="GG32" s="1130"/>
      <c r="GH32" s="1131"/>
      <c r="GI32" s="1130"/>
      <c r="GJ32" s="1131"/>
      <c r="GK32" s="1638">
        <f t="shared" si="104"/>
        <v>0</v>
      </c>
      <c r="GL32" s="1636" t="e">
        <f t="shared" si="105"/>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09"/>
        <v/>
      </c>
      <c r="B33" s="1681"/>
      <c r="C33" s="1449" t="str">
        <f t="shared" si="110"/>
        <v/>
      </c>
      <c r="D33" s="1705" t="str">
        <f t="shared" si="111"/>
        <v/>
      </c>
      <c r="E33" s="1706" t="str">
        <f t="shared" si="112"/>
        <v/>
      </c>
      <c r="F33" s="1714" t="str">
        <f t="shared" si="1"/>
        <v/>
      </c>
      <c r="G33" s="1709" t="str">
        <f t="shared" si="2"/>
        <v/>
      </c>
      <c r="H33" s="1779" t="str">
        <f t="shared" si="3"/>
        <v/>
      </c>
      <c r="I33" s="1705" t="str">
        <f t="shared" si="4"/>
        <v/>
      </c>
      <c r="J33" s="1709" t="str">
        <f t="shared" si="5"/>
        <v/>
      </c>
      <c r="K33" s="1796" t="str">
        <f t="shared" si="6"/>
        <v/>
      </c>
      <c r="L33" s="1712" t="str">
        <f t="shared" si="113"/>
        <v/>
      </c>
      <c r="M33" s="1713" t="str">
        <f t="shared" si="113"/>
        <v/>
      </c>
      <c r="N33" s="1708" t="str">
        <f t="shared" si="7"/>
        <v/>
      </c>
      <c r="O33" s="1709" t="str">
        <f t="shared" si="8"/>
        <v/>
      </c>
      <c r="P33" s="1710" t="str">
        <f t="shared" si="9"/>
        <v/>
      </c>
      <c r="Q33" s="1705" t="str">
        <f t="shared" si="10"/>
        <v/>
      </c>
      <c r="R33" s="1709" t="str">
        <f t="shared" si="11"/>
        <v/>
      </c>
      <c r="S33" s="1711" t="str">
        <f t="shared" si="12"/>
        <v/>
      </c>
      <c r="T33" s="1714" t="str">
        <f t="shared" si="114"/>
        <v/>
      </c>
      <c r="U33" s="1709" t="str">
        <f t="shared" si="115"/>
        <v/>
      </c>
      <c r="V33" s="1705" t="str">
        <f t="shared" si="116"/>
        <v/>
      </c>
      <c r="W33" s="1709" t="str">
        <f t="shared" si="117"/>
        <v/>
      </c>
      <c r="X33" s="1713">
        <f t="shared" si="118"/>
        <v>0</v>
      </c>
      <c r="Y33" s="1781" t="str">
        <f t="shared" si="13"/>
        <v/>
      </c>
      <c r="Z33" s="1782" t="str">
        <f t="shared" si="14"/>
        <v/>
      </c>
      <c r="AA33" s="1783" t="s">
        <v>116</v>
      </c>
      <c r="AB33" s="1413"/>
      <c r="AC33" s="964" t="b">
        <v>0</v>
      </c>
      <c r="AD33" s="441">
        <f t="shared" si="15"/>
        <v>0</v>
      </c>
      <c r="AE33" s="442">
        <f t="shared" si="16"/>
        <v>0</v>
      </c>
      <c r="AF33" s="442">
        <f t="shared" si="17"/>
        <v>0</v>
      </c>
      <c r="AG33" s="442">
        <f t="shared" si="18"/>
        <v>0</v>
      </c>
      <c r="AH33" s="443">
        <f t="shared" si="19"/>
        <v>0</v>
      </c>
      <c r="AI33" s="444" t="b">
        <v>0</v>
      </c>
      <c r="AJ33" s="238">
        <f t="shared" si="20"/>
        <v>0</v>
      </c>
      <c r="AK33" s="830" t="str">
        <f t="shared" si="21"/>
        <v/>
      </c>
      <c r="AL33" s="945" t="str">
        <f t="shared" si="22"/>
        <v/>
      </c>
      <c r="AM33" s="830" t="str">
        <f t="shared" si="23"/>
        <v/>
      </c>
      <c r="AN33" s="830" t="str">
        <f t="shared" si="24"/>
        <v/>
      </c>
      <c r="AO33" s="830" t="str">
        <f t="shared" si="25"/>
        <v/>
      </c>
      <c r="AP33" s="830" t="b">
        <f>IF(ISERROR(AJ33),FALSE,IF(OR(AJ33=0,ISERROR(AL33),ISERROR(AM33),ISERROR(AN33),ISERROR(AO33)),FALSE,IF(AL33&lt;&gt;"",IF(ISERROR(VLOOKUP(SUBSTITUTE(SUBSTITUTE(C33,"R",""),"A",""),TblJoistSize!$A:$A,1,FALSE)),FALSE,TRUE),TRUE)))</f>
        <v>0</v>
      </c>
      <c r="AQ33" s="1038" t="e">
        <f t="shared" si="26"/>
        <v>#N/A</v>
      </c>
      <c r="AR33" s="945" t="b">
        <f t="shared" si="27"/>
        <v>0</v>
      </c>
      <c r="AS33" s="1038" t="e">
        <f t="shared" si="28"/>
        <v>#N/A</v>
      </c>
      <c r="AT33" s="945" t="b">
        <f t="shared" si="29"/>
        <v>0</v>
      </c>
      <c r="AU33" s="946" t="str">
        <f t="shared" si="30"/>
        <v/>
      </c>
      <c r="AV33" s="830" t="str">
        <f t="shared" si="31"/>
        <v/>
      </c>
      <c r="AW33" s="830" t="str">
        <f t="shared" si="32"/>
        <v/>
      </c>
      <c r="AX33" s="830" t="str">
        <f t="shared" si="106"/>
        <v/>
      </c>
      <c r="AY33" s="1039" t="b">
        <f t="shared" si="33"/>
        <v>0</v>
      </c>
      <c r="AZ33" s="856" t="str">
        <f t="shared" si="34"/>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t="str">
        <f t="shared" si="47"/>
        <v/>
      </c>
      <c r="CS33" s="751" t="str">
        <f t="shared" si="48"/>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e">
        <f t="shared" si="70"/>
        <v>#N/A</v>
      </c>
      <c r="EI33" s="856" t="e">
        <f t="shared" si="71"/>
        <v>#N/A</v>
      </c>
      <c r="EJ33" s="822" t="str">
        <f t="shared" si="72"/>
        <v/>
      </c>
      <c r="EK33" s="822" t="str">
        <f t="shared" si="72"/>
        <v/>
      </c>
      <c r="EL33" s="1293" t="str">
        <f t="shared" si="73"/>
        <v/>
      </c>
      <c r="EM33" s="822" t="str">
        <f t="shared" si="74"/>
        <v/>
      </c>
      <c r="EN33" s="822" t="str">
        <f t="shared" si="75"/>
        <v/>
      </c>
      <c r="EO33" s="856" t="e">
        <f t="shared" si="76"/>
        <v>#N/A</v>
      </c>
      <c r="EP33" s="856" t="e">
        <f t="shared" si="77"/>
        <v>#N/A</v>
      </c>
      <c r="EQ33" s="1293" t="str">
        <f t="shared" si="78"/>
        <v/>
      </c>
      <c r="ER33" s="822" t="str">
        <f t="shared" si="78"/>
        <v/>
      </c>
      <c r="ES33" s="822" t="str">
        <f t="shared" si="79"/>
        <v/>
      </c>
      <c r="ET33" s="822" t="str">
        <f t="shared" si="80"/>
        <v/>
      </c>
      <c r="EU33" s="829" t="str">
        <f t="shared" si="81"/>
        <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t="str">
        <f t="shared" si="119"/>
        <v/>
      </c>
      <c r="GB33" s="1792" t="str">
        <f t="shared" si="120"/>
        <v/>
      </c>
      <c r="GC33" s="1793" t="str">
        <f t="shared" si="121"/>
        <v/>
      </c>
      <c r="GD33" s="1794" t="str">
        <f t="shared" si="122"/>
        <v/>
      </c>
      <c r="GE33" s="1795" t="str">
        <f t="shared" si="102"/>
        <v/>
      </c>
      <c r="GF33" s="600" t="str">
        <f t="shared" si="103"/>
        <v/>
      </c>
      <c r="GG33" s="1130"/>
      <c r="GH33" s="1131"/>
      <c r="GI33" s="1130"/>
      <c r="GJ33" s="1131"/>
      <c r="GK33" s="1638">
        <f t="shared" si="104"/>
        <v>0</v>
      </c>
      <c r="GL33" s="1636" t="e">
        <f t="shared" si="105"/>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09"/>
        <v/>
      </c>
      <c r="B34" s="1681"/>
      <c r="C34" s="1449" t="str">
        <f t="shared" si="110"/>
        <v/>
      </c>
      <c r="D34" s="1705" t="str">
        <f t="shared" si="111"/>
        <v/>
      </c>
      <c r="E34" s="1706" t="str">
        <f t="shared" si="112"/>
        <v/>
      </c>
      <c r="F34" s="1714" t="str">
        <f t="shared" si="1"/>
        <v/>
      </c>
      <c r="G34" s="1709" t="str">
        <f t="shared" si="2"/>
        <v/>
      </c>
      <c r="H34" s="1779" t="str">
        <f t="shared" si="3"/>
        <v/>
      </c>
      <c r="I34" s="1705" t="str">
        <f t="shared" si="4"/>
        <v/>
      </c>
      <c r="J34" s="1709" t="str">
        <f t="shared" si="5"/>
        <v/>
      </c>
      <c r="K34" s="1796" t="str">
        <f t="shared" si="6"/>
        <v/>
      </c>
      <c r="L34" s="1712" t="str">
        <f t="shared" si="113"/>
        <v/>
      </c>
      <c r="M34" s="1713" t="str">
        <f t="shared" si="113"/>
        <v/>
      </c>
      <c r="N34" s="1708" t="str">
        <f t="shared" si="7"/>
        <v/>
      </c>
      <c r="O34" s="1709" t="str">
        <f t="shared" si="8"/>
        <v/>
      </c>
      <c r="P34" s="1710" t="str">
        <f t="shared" si="9"/>
        <v/>
      </c>
      <c r="Q34" s="1705" t="str">
        <f t="shared" si="10"/>
        <v/>
      </c>
      <c r="R34" s="1709" t="str">
        <f t="shared" si="11"/>
        <v/>
      </c>
      <c r="S34" s="1711" t="str">
        <f t="shared" si="12"/>
        <v/>
      </c>
      <c r="T34" s="1714" t="str">
        <f t="shared" si="114"/>
        <v/>
      </c>
      <c r="U34" s="1709" t="str">
        <f t="shared" si="115"/>
        <v/>
      </c>
      <c r="V34" s="1705" t="str">
        <f t="shared" si="116"/>
        <v/>
      </c>
      <c r="W34" s="1709" t="str">
        <f t="shared" si="117"/>
        <v/>
      </c>
      <c r="X34" s="1713">
        <f t="shared" si="118"/>
        <v>0</v>
      </c>
      <c r="Y34" s="1781" t="str">
        <f t="shared" si="13"/>
        <v/>
      </c>
      <c r="Z34" s="1782" t="str">
        <f t="shared" si="14"/>
        <v/>
      </c>
      <c r="AA34" s="1783" t="s">
        <v>116</v>
      </c>
      <c r="AB34" s="1413"/>
      <c r="AC34" s="964" t="b">
        <v>0</v>
      </c>
      <c r="AD34" s="441">
        <f t="shared" si="15"/>
        <v>0</v>
      </c>
      <c r="AE34" s="442">
        <f t="shared" si="16"/>
        <v>0</v>
      </c>
      <c r="AF34" s="442">
        <f t="shared" si="17"/>
        <v>0</v>
      </c>
      <c r="AG34" s="442">
        <f t="shared" si="18"/>
        <v>0</v>
      </c>
      <c r="AH34" s="443">
        <f t="shared" si="19"/>
        <v>0</v>
      </c>
      <c r="AI34" s="444" t="b">
        <v>0</v>
      </c>
      <c r="AJ34" s="238">
        <f t="shared" si="20"/>
        <v>0</v>
      </c>
      <c r="AK34" s="830" t="str">
        <f t="shared" si="21"/>
        <v/>
      </c>
      <c r="AL34" s="945" t="str">
        <f t="shared" si="22"/>
        <v/>
      </c>
      <c r="AM34" s="830" t="str">
        <f t="shared" si="23"/>
        <v/>
      </c>
      <c r="AN34" s="830" t="str">
        <f t="shared" si="24"/>
        <v/>
      </c>
      <c r="AO34" s="830" t="str">
        <f t="shared" si="25"/>
        <v/>
      </c>
      <c r="AP34" s="830" t="b">
        <f>IF(ISERROR(AJ34),FALSE,IF(OR(AJ34=0,ISERROR(AL34),ISERROR(AM34),ISERROR(AN34),ISERROR(AO34)),FALSE,IF(AL34&lt;&gt;"",IF(ISERROR(VLOOKUP(SUBSTITUTE(SUBSTITUTE(C34,"R",""),"A",""),TblJoistSize!$A:$A,1,FALSE)),FALSE,TRUE),TRUE)))</f>
        <v>0</v>
      </c>
      <c r="AQ34" s="1038" t="e">
        <f t="shared" si="26"/>
        <v>#N/A</v>
      </c>
      <c r="AR34" s="945" t="b">
        <f t="shared" si="27"/>
        <v>0</v>
      </c>
      <c r="AS34" s="1038" t="e">
        <f t="shared" si="28"/>
        <v>#N/A</v>
      </c>
      <c r="AT34" s="945" t="b">
        <f t="shared" si="29"/>
        <v>0</v>
      </c>
      <c r="AU34" s="946" t="str">
        <f t="shared" si="30"/>
        <v/>
      </c>
      <c r="AV34" s="830" t="str">
        <f t="shared" si="31"/>
        <v/>
      </c>
      <c r="AW34" s="830" t="str">
        <f t="shared" si="32"/>
        <v/>
      </c>
      <c r="AX34" s="830" t="str">
        <f t="shared" si="106"/>
        <v/>
      </c>
      <c r="AY34" s="1039" t="b">
        <f t="shared" si="33"/>
        <v>0</v>
      </c>
      <c r="AZ34" s="856" t="str">
        <f t="shared" si="34"/>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t="str">
        <f t="shared" si="47"/>
        <v/>
      </c>
      <c r="CS34" s="751" t="str">
        <f t="shared" si="48"/>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e">
        <f t="shared" si="70"/>
        <v>#N/A</v>
      </c>
      <c r="EI34" s="856" t="e">
        <f t="shared" si="71"/>
        <v>#N/A</v>
      </c>
      <c r="EJ34" s="822" t="str">
        <f t="shared" si="72"/>
        <v/>
      </c>
      <c r="EK34" s="822" t="str">
        <f t="shared" si="72"/>
        <v/>
      </c>
      <c r="EL34" s="1293" t="str">
        <f t="shared" si="73"/>
        <v/>
      </c>
      <c r="EM34" s="822" t="str">
        <f t="shared" si="74"/>
        <v/>
      </c>
      <c r="EN34" s="822" t="str">
        <f t="shared" si="75"/>
        <v/>
      </c>
      <c r="EO34" s="856" t="e">
        <f t="shared" si="76"/>
        <v>#N/A</v>
      </c>
      <c r="EP34" s="856" t="e">
        <f t="shared" si="77"/>
        <v>#N/A</v>
      </c>
      <c r="EQ34" s="1293" t="str">
        <f t="shared" si="78"/>
        <v/>
      </c>
      <c r="ER34" s="822" t="str">
        <f t="shared" si="78"/>
        <v/>
      </c>
      <c r="ES34" s="822" t="str">
        <f t="shared" si="79"/>
        <v/>
      </c>
      <c r="ET34" s="822" t="str">
        <f t="shared" si="80"/>
        <v/>
      </c>
      <c r="EU34" s="829" t="str">
        <f t="shared" si="81"/>
        <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t="str">
        <f t="shared" si="119"/>
        <v/>
      </c>
      <c r="GB34" s="1792" t="str">
        <f t="shared" si="120"/>
        <v/>
      </c>
      <c r="GC34" s="1793" t="str">
        <f t="shared" si="121"/>
        <v/>
      </c>
      <c r="GD34" s="1794" t="str">
        <f t="shared" si="122"/>
        <v/>
      </c>
      <c r="GE34" s="1795" t="str">
        <f t="shared" si="102"/>
        <v/>
      </c>
      <c r="GF34" s="600" t="str">
        <f t="shared" si="103"/>
        <v/>
      </c>
      <c r="GG34" s="1130"/>
      <c r="GH34" s="1131"/>
      <c r="GI34" s="1130"/>
      <c r="GJ34" s="1131"/>
      <c r="GK34" s="1638">
        <f t="shared" si="104"/>
        <v>0</v>
      </c>
      <c r="GL34" s="1636" t="e">
        <f t="shared" si="105"/>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09"/>
        <v/>
      </c>
      <c r="B35" s="1681"/>
      <c r="C35" s="1449" t="str">
        <f t="shared" si="110"/>
        <v/>
      </c>
      <c r="D35" s="1705" t="str">
        <f t="shared" si="111"/>
        <v/>
      </c>
      <c r="E35" s="1706" t="str">
        <f t="shared" si="112"/>
        <v/>
      </c>
      <c r="F35" s="1714" t="str">
        <f t="shared" si="1"/>
        <v/>
      </c>
      <c r="G35" s="1709" t="str">
        <f t="shared" si="2"/>
        <v/>
      </c>
      <c r="H35" s="1779" t="str">
        <f t="shared" si="3"/>
        <v/>
      </c>
      <c r="I35" s="1705" t="str">
        <f t="shared" si="4"/>
        <v/>
      </c>
      <c r="J35" s="1709" t="str">
        <f t="shared" si="5"/>
        <v/>
      </c>
      <c r="K35" s="1796" t="str">
        <f t="shared" si="6"/>
        <v/>
      </c>
      <c r="L35" s="1712" t="str">
        <f t="shared" si="113"/>
        <v/>
      </c>
      <c r="M35" s="1713" t="str">
        <f t="shared" si="113"/>
        <v/>
      </c>
      <c r="N35" s="1708" t="str">
        <f t="shared" si="7"/>
        <v/>
      </c>
      <c r="O35" s="1709" t="str">
        <f t="shared" si="8"/>
        <v/>
      </c>
      <c r="P35" s="1710" t="str">
        <f t="shared" si="9"/>
        <v/>
      </c>
      <c r="Q35" s="1705" t="str">
        <f t="shared" si="10"/>
        <v/>
      </c>
      <c r="R35" s="1709" t="str">
        <f t="shared" si="11"/>
        <v/>
      </c>
      <c r="S35" s="1711" t="str">
        <f t="shared" si="12"/>
        <v/>
      </c>
      <c r="T35" s="1714" t="str">
        <f t="shared" si="114"/>
        <v/>
      </c>
      <c r="U35" s="1709" t="str">
        <f t="shared" si="115"/>
        <v/>
      </c>
      <c r="V35" s="1705" t="str">
        <f t="shared" si="116"/>
        <v/>
      </c>
      <c r="W35" s="1709" t="str">
        <f t="shared" si="117"/>
        <v/>
      </c>
      <c r="X35" s="1713">
        <f t="shared" si="118"/>
        <v>0</v>
      </c>
      <c r="Y35" s="1781" t="str">
        <f t="shared" si="13"/>
        <v/>
      </c>
      <c r="Z35" s="1782" t="str">
        <f t="shared" si="14"/>
        <v/>
      </c>
      <c r="AA35" s="1783" t="s">
        <v>116</v>
      </c>
      <c r="AB35" s="1413"/>
      <c r="AC35" s="964" t="b">
        <v>0</v>
      </c>
      <c r="AD35" s="441">
        <f t="shared" si="15"/>
        <v>0</v>
      </c>
      <c r="AE35" s="442">
        <f t="shared" si="16"/>
        <v>0</v>
      </c>
      <c r="AF35" s="442">
        <f t="shared" si="17"/>
        <v>0</v>
      </c>
      <c r="AG35" s="442">
        <f t="shared" si="18"/>
        <v>0</v>
      </c>
      <c r="AH35" s="443">
        <f t="shared" si="19"/>
        <v>0</v>
      </c>
      <c r="AI35" s="444" t="b">
        <v>0</v>
      </c>
      <c r="AJ35" s="238">
        <f t="shared" si="20"/>
        <v>0</v>
      </c>
      <c r="AK35" s="830" t="str">
        <f t="shared" si="21"/>
        <v/>
      </c>
      <c r="AL35" s="945" t="str">
        <f t="shared" si="22"/>
        <v/>
      </c>
      <c r="AM35" s="830" t="str">
        <f t="shared" si="23"/>
        <v/>
      </c>
      <c r="AN35" s="830" t="str">
        <f t="shared" si="24"/>
        <v/>
      </c>
      <c r="AO35" s="830" t="str">
        <f t="shared" si="25"/>
        <v/>
      </c>
      <c r="AP35" s="830" t="b">
        <f>IF(ISERROR(AJ35),FALSE,IF(OR(AJ35=0,ISERROR(AL35),ISERROR(AM35),ISERROR(AN35),ISERROR(AO35)),FALSE,IF(AL35&lt;&gt;"",IF(ISERROR(VLOOKUP(SUBSTITUTE(SUBSTITUTE(C35,"R",""),"A",""),TblJoistSize!$A:$A,1,FALSE)),FALSE,TRUE),TRUE)))</f>
        <v>0</v>
      </c>
      <c r="AQ35" s="1038" t="e">
        <f t="shared" si="26"/>
        <v>#N/A</v>
      </c>
      <c r="AR35" s="945" t="b">
        <f t="shared" si="27"/>
        <v>0</v>
      </c>
      <c r="AS35" s="1038" t="e">
        <f t="shared" si="28"/>
        <v>#N/A</v>
      </c>
      <c r="AT35" s="945" t="b">
        <f t="shared" si="29"/>
        <v>0</v>
      </c>
      <c r="AU35" s="946" t="str">
        <f t="shared" si="30"/>
        <v/>
      </c>
      <c r="AV35" s="830" t="str">
        <f t="shared" si="31"/>
        <v/>
      </c>
      <c r="AW35" s="830" t="str">
        <f t="shared" si="32"/>
        <v/>
      </c>
      <c r="AX35" s="830" t="str">
        <f t="shared" si="106"/>
        <v/>
      </c>
      <c r="AY35" s="1039" t="b">
        <f t="shared" si="33"/>
        <v>0</v>
      </c>
      <c r="AZ35" s="856" t="str">
        <f t="shared" si="34"/>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t="str">
        <f t="shared" si="47"/>
        <v/>
      </c>
      <c r="CS35" s="751" t="str">
        <f t="shared" si="48"/>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e">
        <f t="shared" si="70"/>
        <v>#N/A</v>
      </c>
      <c r="EI35" s="856" t="e">
        <f t="shared" si="71"/>
        <v>#N/A</v>
      </c>
      <c r="EJ35" s="822" t="str">
        <f t="shared" si="72"/>
        <v/>
      </c>
      <c r="EK35" s="822" t="str">
        <f t="shared" si="72"/>
        <v/>
      </c>
      <c r="EL35" s="1293" t="str">
        <f t="shared" si="73"/>
        <v/>
      </c>
      <c r="EM35" s="822" t="str">
        <f t="shared" si="74"/>
        <v/>
      </c>
      <c r="EN35" s="822" t="str">
        <f t="shared" si="75"/>
        <v/>
      </c>
      <c r="EO35" s="856" t="e">
        <f t="shared" si="76"/>
        <v>#N/A</v>
      </c>
      <c r="EP35" s="856" t="e">
        <f t="shared" si="77"/>
        <v>#N/A</v>
      </c>
      <c r="EQ35" s="1293" t="str">
        <f t="shared" si="78"/>
        <v/>
      </c>
      <c r="ER35" s="822" t="str">
        <f t="shared" si="78"/>
        <v/>
      </c>
      <c r="ES35" s="822" t="str">
        <f t="shared" si="79"/>
        <v/>
      </c>
      <c r="ET35" s="822" t="str">
        <f t="shared" si="80"/>
        <v/>
      </c>
      <c r="EU35" s="829" t="str">
        <f t="shared" si="81"/>
        <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t="str">
        <f t="shared" si="119"/>
        <v/>
      </c>
      <c r="GB35" s="1792" t="str">
        <f t="shared" si="120"/>
        <v/>
      </c>
      <c r="GC35" s="1793" t="str">
        <f t="shared" si="121"/>
        <v/>
      </c>
      <c r="GD35" s="1794" t="str">
        <f t="shared" si="122"/>
        <v/>
      </c>
      <c r="GE35" s="1795" t="str">
        <f t="shared" si="102"/>
        <v/>
      </c>
      <c r="GF35" s="600" t="str">
        <f t="shared" si="103"/>
        <v/>
      </c>
      <c r="GG35" s="1130"/>
      <c r="GH35" s="1131"/>
      <c r="GI35" s="1130"/>
      <c r="GJ35" s="1131"/>
      <c r="GK35" s="1638">
        <f t="shared" si="104"/>
        <v>0</v>
      </c>
      <c r="GL35" s="1636" t="e">
        <f t="shared" si="105"/>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09"/>
        <v/>
      </c>
      <c r="B36" s="1681"/>
      <c r="C36" s="1449" t="str">
        <f t="shared" si="110"/>
        <v/>
      </c>
      <c r="D36" s="1705" t="str">
        <f t="shared" si="111"/>
        <v/>
      </c>
      <c r="E36" s="1706" t="str">
        <f t="shared" si="112"/>
        <v/>
      </c>
      <c r="F36" s="1714" t="str">
        <f t="shared" si="1"/>
        <v/>
      </c>
      <c r="G36" s="1709" t="str">
        <f t="shared" si="2"/>
        <v/>
      </c>
      <c r="H36" s="1779" t="str">
        <f t="shared" si="3"/>
        <v/>
      </c>
      <c r="I36" s="1705" t="str">
        <f t="shared" si="4"/>
        <v/>
      </c>
      <c r="J36" s="1709" t="str">
        <f t="shared" si="5"/>
        <v/>
      </c>
      <c r="K36" s="1796" t="str">
        <f t="shared" si="6"/>
        <v/>
      </c>
      <c r="L36" s="1712" t="str">
        <f t="shared" si="113"/>
        <v/>
      </c>
      <c r="M36" s="1713" t="str">
        <f t="shared" si="113"/>
        <v/>
      </c>
      <c r="N36" s="1708" t="str">
        <f t="shared" si="7"/>
        <v/>
      </c>
      <c r="O36" s="1709" t="str">
        <f t="shared" si="8"/>
        <v/>
      </c>
      <c r="P36" s="1710" t="str">
        <f t="shared" si="9"/>
        <v/>
      </c>
      <c r="Q36" s="1705" t="str">
        <f t="shared" si="10"/>
        <v/>
      </c>
      <c r="R36" s="1709" t="str">
        <f t="shared" si="11"/>
        <v/>
      </c>
      <c r="S36" s="1711" t="str">
        <f t="shared" si="12"/>
        <v/>
      </c>
      <c r="T36" s="1714" t="str">
        <f t="shared" si="114"/>
        <v/>
      </c>
      <c r="U36" s="1709" t="str">
        <f t="shared" si="115"/>
        <v/>
      </c>
      <c r="V36" s="1705" t="str">
        <f t="shared" si="116"/>
        <v/>
      </c>
      <c r="W36" s="1709" t="str">
        <f t="shared" si="117"/>
        <v/>
      </c>
      <c r="X36" s="1713">
        <f t="shared" si="118"/>
        <v>0</v>
      </c>
      <c r="Y36" s="1781" t="str">
        <f t="shared" si="13"/>
        <v/>
      </c>
      <c r="Z36" s="1782" t="str">
        <f t="shared" si="14"/>
        <v/>
      </c>
      <c r="AA36" s="1783" t="s">
        <v>116</v>
      </c>
      <c r="AB36" s="1413"/>
      <c r="AC36" s="964" t="b">
        <v>0</v>
      </c>
      <c r="AD36" s="441">
        <f t="shared" si="15"/>
        <v>0</v>
      </c>
      <c r="AE36" s="442">
        <f t="shared" si="16"/>
        <v>0</v>
      </c>
      <c r="AF36" s="442">
        <f t="shared" si="17"/>
        <v>0</v>
      </c>
      <c r="AG36" s="442">
        <f t="shared" si="18"/>
        <v>0</v>
      </c>
      <c r="AH36" s="443">
        <f t="shared" si="19"/>
        <v>0</v>
      </c>
      <c r="AI36" s="444" t="b">
        <v>0</v>
      </c>
      <c r="AJ36" s="238">
        <f t="shared" si="20"/>
        <v>0</v>
      </c>
      <c r="AK36" s="830" t="str">
        <f t="shared" si="21"/>
        <v/>
      </c>
      <c r="AL36" s="945" t="str">
        <f t="shared" si="22"/>
        <v/>
      </c>
      <c r="AM36" s="830" t="str">
        <f t="shared" si="23"/>
        <v/>
      </c>
      <c r="AN36" s="830" t="str">
        <f t="shared" si="24"/>
        <v/>
      </c>
      <c r="AO36" s="830" t="str">
        <f t="shared" si="25"/>
        <v/>
      </c>
      <c r="AP36" s="830" t="b">
        <f>IF(ISERROR(AJ36),FALSE,IF(OR(AJ36=0,ISERROR(AL36),ISERROR(AM36),ISERROR(AN36),ISERROR(AO36)),FALSE,IF(AL36&lt;&gt;"",IF(ISERROR(VLOOKUP(SUBSTITUTE(SUBSTITUTE(C36,"R",""),"A",""),TblJoistSize!$A:$A,1,FALSE)),FALSE,TRUE),TRUE)))</f>
        <v>0</v>
      </c>
      <c r="AQ36" s="1038" t="e">
        <f t="shared" si="26"/>
        <v>#N/A</v>
      </c>
      <c r="AR36" s="945" t="b">
        <f t="shared" si="27"/>
        <v>0</v>
      </c>
      <c r="AS36" s="1038" t="e">
        <f t="shared" si="28"/>
        <v>#N/A</v>
      </c>
      <c r="AT36" s="945" t="b">
        <f t="shared" si="29"/>
        <v>0</v>
      </c>
      <c r="AU36" s="946" t="str">
        <f t="shared" si="30"/>
        <v/>
      </c>
      <c r="AV36" s="830" t="str">
        <f t="shared" si="31"/>
        <v/>
      </c>
      <c r="AW36" s="830" t="str">
        <f t="shared" si="32"/>
        <v/>
      </c>
      <c r="AX36" s="830" t="str">
        <f t="shared" si="106"/>
        <v/>
      </c>
      <c r="AY36" s="1039" t="b">
        <f t="shared" si="33"/>
        <v>0</v>
      </c>
      <c r="AZ36" s="856" t="str">
        <f t="shared" si="34"/>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t="str">
        <f t="shared" si="47"/>
        <v/>
      </c>
      <c r="CS36" s="751" t="str">
        <f t="shared" si="48"/>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e">
        <f t="shared" si="70"/>
        <v>#N/A</v>
      </c>
      <c r="EI36" s="856" t="e">
        <f t="shared" si="71"/>
        <v>#N/A</v>
      </c>
      <c r="EJ36" s="822" t="str">
        <f t="shared" si="72"/>
        <v/>
      </c>
      <c r="EK36" s="822" t="str">
        <f t="shared" si="72"/>
        <v/>
      </c>
      <c r="EL36" s="1293" t="str">
        <f t="shared" si="73"/>
        <v/>
      </c>
      <c r="EM36" s="822" t="str">
        <f t="shared" si="74"/>
        <v/>
      </c>
      <c r="EN36" s="822" t="str">
        <f t="shared" si="75"/>
        <v/>
      </c>
      <c r="EO36" s="856" t="e">
        <f t="shared" si="76"/>
        <v>#N/A</v>
      </c>
      <c r="EP36" s="856" t="e">
        <f t="shared" si="77"/>
        <v>#N/A</v>
      </c>
      <c r="EQ36" s="1293" t="str">
        <f t="shared" si="78"/>
        <v/>
      </c>
      <c r="ER36" s="822" t="str">
        <f t="shared" si="78"/>
        <v/>
      </c>
      <c r="ES36" s="822" t="str">
        <f t="shared" si="79"/>
        <v/>
      </c>
      <c r="ET36" s="822" t="str">
        <f t="shared" si="80"/>
        <v/>
      </c>
      <c r="EU36" s="829" t="str">
        <f t="shared" si="81"/>
        <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t="str">
        <f t="shared" si="119"/>
        <v/>
      </c>
      <c r="GB36" s="1792" t="str">
        <f t="shared" si="120"/>
        <v/>
      </c>
      <c r="GC36" s="1793" t="str">
        <f t="shared" si="121"/>
        <v/>
      </c>
      <c r="GD36" s="1794" t="str">
        <f t="shared" si="122"/>
        <v/>
      </c>
      <c r="GE36" s="1795" t="str">
        <f t="shared" si="102"/>
        <v/>
      </c>
      <c r="GF36" s="600" t="str">
        <f t="shared" si="103"/>
        <v/>
      </c>
      <c r="GG36" s="1130"/>
      <c r="GH36" s="1131"/>
      <c r="GI36" s="1130"/>
      <c r="GJ36" s="1131"/>
      <c r="GK36" s="1638">
        <f t="shared" si="104"/>
        <v>0</v>
      </c>
      <c r="GL36" s="1636" t="e">
        <f t="shared" si="105"/>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09"/>
        <v/>
      </c>
      <c r="B37" s="1681"/>
      <c r="C37" s="1449" t="str">
        <f t="shared" si="110"/>
        <v/>
      </c>
      <c r="D37" s="1705" t="str">
        <f t="shared" si="111"/>
        <v/>
      </c>
      <c r="E37" s="1706" t="str">
        <f t="shared" si="112"/>
        <v/>
      </c>
      <c r="F37" s="1714" t="str">
        <f t="shared" si="1"/>
        <v/>
      </c>
      <c r="G37" s="1709" t="str">
        <f t="shared" si="2"/>
        <v/>
      </c>
      <c r="H37" s="1779" t="str">
        <f t="shared" si="3"/>
        <v/>
      </c>
      <c r="I37" s="1705" t="str">
        <f t="shared" si="4"/>
        <v/>
      </c>
      <c r="J37" s="1709" t="str">
        <f t="shared" si="5"/>
        <v/>
      </c>
      <c r="K37" s="1796" t="str">
        <f t="shared" si="6"/>
        <v/>
      </c>
      <c r="L37" s="1712" t="str">
        <f t="shared" si="113"/>
        <v/>
      </c>
      <c r="M37" s="1713" t="str">
        <f t="shared" si="113"/>
        <v/>
      </c>
      <c r="N37" s="1708" t="str">
        <f t="shared" si="7"/>
        <v/>
      </c>
      <c r="O37" s="1709" t="str">
        <f t="shared" si="8"/>
        <v/>
      </c>
      <c r="P37" s="1710" t="str">
        <f t="shared" si="9"/>
        <v/>
      </c>
      <c r="Q37" s="1705" t="str">
        <f t="shared" si="10"/>
        <v/>
      </c>
      <c r="R37" s="1709" t="str">
        <f t="shared" si="11"/>
        <v/>
      </c>
      <c r="S37" s="1711" t="str">
        <f t="shared" si="12"/>
        <v/>
      </c>
      <c r="T37" s="1714" t="str">
        <f t="shared" si="114"/>
        <v/>
      </c>
      <c r="U37" s="1709" t="str">
        <f t="shared" si="115"/>
        <v/>
      </c>
      <c r="V37" s="1705" t="str">
        <f t="shared" si="116"/>
        <v/>
      </c>
      <c r="W37" s="1709" t="str">
        <f t="shared" si="117"/>
        <v/>
      </c>
      <c r="X37" s="1713">
        <f t="shared" si="118"/>
        <v>0</v>
      </c>
      <c r="Y37" s="1781" t="str">
        <f t="shared" si="13"/>
        <v/>
      </c>
      <c r="Z37" s="1782" t="str">
        <f t="shared" si="14"/>
        <v/>
      </c>
      <c r="AA37" s="1783" t="s">
        <v>116</v>
      </c>
      <c r="AB37" s="1413"/>
      <c r="AC37" s="964" t="b">
        <v>0</v>
      </c>
      <c r="AD37" s="441">
        <f t="shared" si="15"/>
        <v>0</v>
      </c>
      <c r="AE37" s="442">
        <f t="shared" si="16"/>
        <v>0</v>
      </c>
      <c r="AF37" s="442">
        <f t="shared" si="17"/>
        <v>0</v>
      </c>
      <c r="AG37" s="442">
        <f t="shared" si="18"/>
        <v>0</v>
      </c>
      <c r="AH37" s="443">
        <f t="shared" si="19"/>
        <v>0</v>
      </c>
      <c r="AI37" s="444" t="b">
        <v>0</v>
      </c>
      <c r="AJ37" s="238">
        <f t="shared" si="20"/>
        <v>0</v>
      </c>
      <c r="AK37" s="830" t="str">
        <f t="shared" si="21"/>
        <v/>
      </c>
      <c r="AL37" s="945" t="str">
        <f t="shared" si="22"/>
        <v/>
      </c>
      <c r="AM37" s="830" t="str">
        <f t="shared" si="23"/>
        <v/>
      </c>
      <c r="AN37" s="830" t="str">
        <f t="shared" si="24"/>
        <v/>
      </c>
      <c r="AO37" s="830" t="str">
        <f t="shared" si="25"/>
        <v/>
      </c>
      <c r="AP37" s="830" t="b">
        <f>IF(ISERROR(AJ37),FALSE,IF(OR(AJ37=0,ISERROR(AL37),ISERROR(AM37),ISERROR(AN37),ISERROR(AO37)),FALSE,IF(AL37&lt;&gt;"",IF(ISERROR(VLOOKUP(SUBSTITUTE(SUBSTITUTE(C37,"R",""),"A",""),TblJoistSize!$A:$A,1,FALSE)),FALSE,TRUE),TRUE)))</f>
        <v>0</v>
      </c>
      <c r="AQ37" s="1038" t="e">
        <f t="shared" si="26"/>
        <v>#N/A</v>
      </c>
      <c r="AR37" s="945" t="b">
        <f t="shared" si="27"/>
        <v>0</v>
      </c>
      <c r="AS37" s="1038" t="e">
        <f t="shared" si="28"/>
        <v>#N/A</v>
      </c>
      <c r="AT37" s="945" t="b">
        <f t="shared" si="29"/>
        <v>0</v>
      </c>
      <c r="AU37" s="946" t="str">
        <f t="shared" si="30"/>
        <v/>
      </c>
      <c r="AV37" s="830" t="str">
        <f t="shared" si="31"/>
        <v/>
      </c>
      <c r="AW37" s="830" t="str">
        <f t="shared" si="32"/>
        <v/>
      </c>
      <c r="AX37" s="830" t="str">
        <f t="shared" si="106"/>
        <v/>
      </c>
      <c r="AY37" s="1039" t="b">
        <f t="shared" si="33"/>
        <v>0</v>
      </c>
      <c r="AZ37" s="856" t="str">
        <f t="shared" si="34"/>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t="str">
        <f t="shared" si="47"/>
        <v/>
      </c>
      <c r="CS37" s="751" t="str">
        <f t="shared" si="48"/>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e">
        <f t="shared" si="70"/>
        <v>#N/A</v>
      </c>
      <c r="EI37" s="856" t="e">
        <f t="shared" si="71"/>
        <v>#N/A</v>
      </c>
      <c r="EJ37" s="822" t="str">
        <f t="shared" si="72"/>
        <v/>
      </c>
      <c r="EK37" s="822" t="str">
        <f t="shared" si="72"/>
        <v/>
      </c>
      <c r="EL37" s="1293" t="str">
        <f t="shared" si="73"/>
        <v/>
      </c>
      <c r="EM37" s="822" t="str">
        <f t="shared" si="74"/>
        <v/>
      </c>
      <c r="EN37" s="822" t="str">
        <f t="shared" si="75"/>
        <v/>
      </c>
      <c r="EO37" s="856" t="e">
        <f t="shared" si="76"/>
        <v>#N/A</v>
      </c>
      <c r="EP37" s="856" t="e">
        <f t="shared" si="77"/>
        <v>#N/A</v>
      </c>
      <c r="EQ37" s="1293" t="str">
        <f t="shared" si="78"/>
        <v/>
      </c>
      <c r="ER37" s="822" t="str">
        <f t="shared" si="78"/>
        <v/>
      </c>
      <c r="ES37" s="822" t="str">
        <f t="shared" si="79"/>
        <v/>
      </c>
      <c r="ET37" s="822" t="str">
        <f t="shared" si="80"/>
        <v/>
      </c>
      <c r="EU37" s="829" t="str">
        <f t="shared" si="81"/>
        <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t="str">
        <f t="shared" si="119"/>
        <v/>
      </c>
      <c r="GB37" s="1792" t="str">
        <f t="shared" si="120"/>
        <v/>
      </c>
      <c r="GC37" s="1793" t="str">
        <f t="shared" si="121"/>
        <v/>
      </c>
      <c r="GD37" s="1794" t="str">
        <f t="shared" si="122"/>
        <v/>
      </c>
      <c r="GE37" s="1795" t="str">
        <f t="shared" si="102"/>
        <v/>
      </c>
      <c r="GF37" s="600" t="str">
        <f t="shared" si="103"/>
        <v/>
      </c>
      <c r="GG37" s="1130"/>
      <c r="GH37" s="1131"/>
      <c r="GI37" s="1130"/>
      <c r="GJ37" s="1131"/>
      <c r="GK37" s="1638">
        <f t="shared" si="104"/>
        <v>0</v>
      </c>
      <c r="GL37" s="1636" t="e">
        <f t="shared" si="105"/>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09"/>
        <v/>
      </c>
      <c r="B38" s="1681"/>
      <c r="C38" s="1449" t="str">
        <f t="shared" si="110"/>
        <v/>
      </c>
      <c r="D38" s="1705" t="str">
        <f t="shared" si="111"/>
        <v/>
      </c>
      <c r="E38" s="1706" t="str">
        <f t="shared" si="112"/>
        <v/>
      </c>
      <c r="F38" s="1714" t="str">
        <f t="shared" si="1"/>
        <v/>
      </c>
      <c r="G38" s="1709" t="str">
        <f t="shared" si="2"/>
        <v/>
      </c>
      <c r="H38" s="1779" t="str">
        <f t="shared" si="3"/>
        <v/>
      </c>
      <c r="I38" s="1705" t="str">
        <f t="shared" si="4"/>
        <v/>
      </c>
      <c r="J38" s="1709" t="str">
        <f t="shared" si="5"/>
        <v/>
      </c>
      <c r="K38" s="1796" t="str">
        <f t="shared" si="6"/>
        <v/>
      </c>
      <c r="L38" s="1712" t="str">
        <f t="shared" si="113"/>
        <v/>
      </c>
      <c r="M38" s="1713" t="str">
        <f t="shared" si="113"/>
        <v/>
      </c>
      <c r="N38" s="1708" t="str">
        <f t="shared" si="7"/>
        <v/>
      </c>
      <c r="O38" s="1709" t="str">
        <f t="shared" si="8"/>
        <v/>
      </c>
      <c r="P38" s="1710" t="str">
        <f t="shared" si="9"/>
        <v/>
      </c>
      <c r="Q38" s="1705" t="str">
        <f t="shared" si="10"/>
        <v/>
      </c>
      <c r="R38" s="1709" t="str">
        <f t="shared" si="11"/>
        <v/>
      </c>
      <c r="S38" s="1711" t="str">
        <f t="shared" si="12"/>
        <v/>
      </c>
      <c r="T38" s="1714" t="str">
        <f t="shared" si="114"/>
        <v/>
      </c>
      <c r="U38" s="1709" t="str">
        <f t="shared" si="115"/>
        <v/>
      </c>
      <c r="V38" s="1705" t="str">
        <f t="shared" si="116"/>
        <v/>
      </c>
      <c r="W38" s="1709" t="str">
        <f t="shared" si="117"/>
        <v/>
      </c>
      <c r="X38" s="1713">
        <f t="shared" si="118"/>
        <v>0</v>
      </c>
      <c r="Y38" s="1781" t="str">
        <f t="shared" si="13"/>
        <v/>
      </c>
      <c r="Z38" s="1782" t="str">
        <f t="shared" si="14"/>
        <v/>
      </c>
      <c r="AA38" s="1783" t="s">
        <v>116</v>
      </c>
      <c r="AB38" s="1413"/>
      <c r="AC38" s="964" t="b">
        <v>0</v>
      </c>
      <c r="AD38" s="441">
        <f t="shared" si="15"/>
        <v>0</v>
      </c>
      <c r="AE38" s="442">
        <f t="shared" si="16"/>
        <v>0</v>
      </c>
      <c r="AF38" s="442">
        <f t="shared" si="17"/>
        <v>0</v>
      </c>
      <c r="AG38" s="442">
        <f t="shared" si="18"/>
        <v>0</v>
      </c>
      <c r="AH38" s="443">
        <f t="shared" si="19"/>
        <v>0</v>
      </c>
      <c r="AI38" s="444" t="b">
        <v>0</v>
      </c>
      <c r="AJ38" s="238">
        <f t="shared" si="20"/>
        <v>0</v>
      </c>
      <c r="AK38" s="830" t="str">
        <f t="shared" si="21"/>
        <v/>
      </c>
      <c r="AL38" s="945" t="str">
        <f t="shared" si="22"/>
        <v/>
      </c>
      <c r="AM38" s="830" t="str">
        <f t="shared" si="23"/>
        <v/>
      </c>
      <c r="AN38" s="830" t="str">
        <f t="shared" si="24"/>
        <v/>
      </c>
      <c r="AO38" s="830" t="str">
        <f t="shared" si="25"/>
        <v/>
      </c>
      <c r="AP38" s="830" t="b">
        <f>IF(ISERROR(AJ38),FALSE,IF(OR(AJ38=0,ISERROR(AL38),ISERROR(AM38),ISERROR(AN38),ISERROR(AO38)),FALSE,IF(AL38&lt;&gt;"",IF(ISERROR(VLOOKUP(SUBSTITUTE(SUBSTITUTE(C38,"R",""),"A",""),TblJoistSize!$A:$A,1,FALSE)),FALSE,TRUE),TRUE)))</f>
        <v>0</v>
      </c>
      <c r="AQ38" s="1038" t="e">
        <f t="shared" si="26"/>
        <v>#N/A</v>
      </c>
      <c r="AR38" s="945" t="b">
        <f t="shared" si="27"/>
        <v>0</v>
      </c>
      <c r="AS38" s="1038" t="e">
        <f t="shared" si="28"/>
        <v>#N/A</v>
      </c>
      <c r="AT38" s="945" t="b">
        <f t="shared" si="29"/>
        <v>0</v>
      </c>
      <c r="AU38" s="946" t="str">
        <f t="shared" si="30"/>
        <v/>
      </c>
      <c r="AV38" s="830" t="str">
        <f t="shared" si="31"/>
        <v/>
      </c>
      <c r="AW38" s="830" t="str">
        <f t="shared" si="32"/>
        <v/>
      </c>
      <c r="AX38" s="830" t="str">
        <f t="shared" si="106"/>
        <v/>
      </c>
      <c r="AY38" s="1039" t="b">
        <f t="shared" si="33"/>
        <v>0</v>
      </c>
      <c r="AZ38" s="856" t="str">
        <f t="shared" si="34"/>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t="str">
        <f t="shared" si="47"/>
        <v/>
      </c>
      <c r="CS38" s="751" t="str">
        <f t="shared" si="48"/>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e">
        <f t="shared" si="70"/>
        <v>#N/A</v>
      </c>
      <c r="EI38" s="856" t="e">
        <f t="shared" si="71"/>
        <v>#N/A</v>
      </c>
      <c r="EJ38" s="822" t="str">
        <f t="shared" si="72"/>
        <v/>
      </c>
      <c r="EK38" s="822" t="str">
        <f t="shared" si="72"/>
        <v/>
      </c>
      <c r="EL38" s="1293" t="str">
        <f t="shared" si="73"/>
        <v/>
      </c>
      <c r="EM38" s="822" t="str">
        <f t="shared" si="74"/>
        <v/>
      </c>
      <c r="EN38" s="822" t="str">
        <f t="shared" si="75"/>
        <v/>
      </c>
      <c r="EO38" s="856" t="e">
        <f t="shared" si="76"/>
        <v>#N/A</v>
      </c>
      <c r="EP38" s="856" t="e">
        <f t="shared" si="77"/>
        <v>#N/A</v>
      </c>
      <c r="EQ38" s="1293" t="str">
        <f t="shared" si="78"/>
        <v/>
      </c>
      <c r="ER38" s="822" t="str">
        <f t="shared" si="78"/>
        <v/>
      </c>
      <c r="ES38" s="822" t="str">
        <f t="shared" si="79"/>
        <v/>
      </c>
      <c r="ET38" s="822" t="str">
        <f t="shared" si="80"/>
        <v/>
      </c>
      <c r="EU38" s="829" t="str">
        <f t="shared" si="81"/>
        <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t="str">
        <f t="shared" si="119"/>
        <v/>
      </c>
      <c r="GB38" s="1792" t="str">
        <f t="shared" si="120"/>
        <v/>
      </c>
      <c r="GC38" s="1793" t="str">
        <f t="shared" si="121"/>
        <v/>
      </c>
      <c r="GD38" s="1794" t="str">
        <f t="shared" si="122"/>
        <v/>
      </c>
      <c r="GE38" s="1795" t="str">
        <f t="shared" si="102"/>
        <v/>
      </c>
      <c r="GF38" s="600" t="str">
        <f t="shared" si="103"/>
        <v/>
      </c>
      <c r="GG38" s="1130"/>
      <c r="GH38" s="1131"/>
      <c r="GI38" s="1130"/>
      <c r="GJ38" s="1131"/>
      <c r="GK38" s="1638">
        <f t="shared" si="104"/>
        <v>0</v>
      </c>
      <c r="GL38" s="1636" t="e">
        <f t="shared" si="105"/>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09"/>
        <v/>
      </c>
      <c r="B39" s="1681"/>
      <c r="C39" s="1449" t="str">
        <f t="shared" si="110"/>
        <v/>
      </c>
      <c r="D39" s="1705" t="str">
        <f t="shared" si="111"/>
        <v/>
      </c>
      <c r="E39" s="1706" t="str">
        <f t="shared" si="112"/>
        <v/>
      </c>
      <c r="F39" s="1714" t="str">
        <f t="shared" si="1"/>
        <v/>
      </c>
      <c r="G39" s="1709" t="str">
        <f t="shared" si="2"/>
        <v/>
      </c>
      <c r="H39" s="1779" t="str">
        <f t="shared" si="3"/>
        <v/>
      </c>
      <c r="I39" s="1705" t="str">
        <f t="shared" si="4"/>
        <v/>
      </c>
      <c r="J39" s="1709" t="str">
        <f t="shared" si="5"/>
        <v/>
      </c>
      <c r="K39" s="1796" t="str">
        <f t="shared" si="6"/>
        <v/>
      </c>
      <c r="L39" s="1712" t="str">
        <f t="shared" si="113"/>
        <v/>
      </c>
      <c r="M39" s="1713" t="str">
        <f t="shared" si="113"/>
        <v/>
      </c>
      <c r="N39" s="1708" t="str">
        <f t="shared" si="7"/>
        <v/>
      </c>
      <c r="O39" s="1709" t="str">
        <f t="shared" si="8"/>
        <v/>
      </c>
      <c r="P39" s="1710" t="str">
        <f t="shared" si="9"/>
        <v/>
      </c>
      <c r="Q39" s="1705" t="str">
        <f t="shared" si="10"/>
        <v/>
      </c>
      <c r="R39" s="1709" t="str">
        <f t="shared" si="11"/>
        <v/>
      </c>
      <c r="S39" s="1711" t="str">
        <f t="shared" si="12"/>
        <v/>
      </c>
      <c r="T39" s="1714" t="str">
        <f t="shared" si="114"/>
        <v/>
      </c>
      <c r="U39" s="1709" t="str">
        <f t="shared" si="115"/>
        <v/>
      </c>
      <c r="V39" s="1705" t="str">
        <f t="shared" si="116"/>
        <v/>
      </c>
      <c r="W39" s="1709" t="str">
        <f t="shared" si="117"/>
        <v/>
      </c>
      <c r="X39" s="1713">
        <f t="shared" si="118"/>
        <v>0</v>
      </c>
      <c r="Y39" s="1781" t="str">
        <f t="shared" si="13"/>
        <v/>
      </c>
      <c r="Z39" s="1782" t="str">
        <f t="shared" si="14"/>
        <v/>
      </c>
      <c r="AA39" s="1783" t="s">
        <v>116</v>
      </c>
      <c r="AB39" s="1413"/>
      <c r="AC39" s="964" t="b">
        <v>0</v>
      </c>
      <c r="AD39" s="441">
        <f t="shared" si="15"/>
        <v>0</v>
      </c>
      <c r="AE39" s="442">
        <f t="shared" si="16"/>
        <v>0</v>
      </c>
      <c r="AF39" s="442">
        <f t="shared" si="17"/>
        <v>0</v>
      </c>
      <c r="AG39" s="442">
        <f t="shared" si="18"/>
        <v>0</v>
      </c>
      <c r="AH39" s="443">
        <f t="shared" si="19"/>
        <v>0</v>
      </c>
      <c r="AI39" s="444" t="b">
        <v>0</v>
      </c>
      <c r="AJ39" s="238">
        <f t="shared" si="20"/>
        <v>0</v>
      </c>
      <c r="AK39" s="830" t="str">
        <f t="shared" si="21"/>
        <v/>
      </c>
      <c r="AL39" s="945" t="str">
        <f t="shared" si="22"/>
        <v/>
      </c>
      <c r="AM39" s="830" t="str">
        <f t="shared" si="23"/>
        <v/>
      </c>
      <c r="AN39" s="830" t="str">
        <f t="shared" si="24"/>
        <v/>
      </c>
      <c r="AO39" s="830" t="str">
        <f t="shared" si="25"/>
        <v/>
      </c>
      <c r="AP39" s="830" t="b">
        <f>IF(ISERROR(AJ39),FALSE,IF(OR(AJ39=0,ISERROR(AL39),ISERROR(AM39),ISERROR(AN39),ISERROR(AO39)),FALSE,IF(AL39&lt;&gt;"",IF(ISERROR(VLOOKUP(SUBSTITUTE(SUBSTITUTE(C39,"R",""),"A",""),TblJoistSize!$A:$A,1,FALSE)),FALSE,TRUE),TRUE)))</f>
        <v>0</v>
      </c>
      <c r="AQ39" s="1038" t="e">
        <f t="shared" si="26"/>
        <v>#N/A</v>
      </c>
      <c r="AR39" s="945" t="b">
        <f t="shared" si="27"/>
        <v>0</v>
      </c>
      <c r="AS39" s="1038" t="e">
        <f t="shared" si="28"/>
        <v>#N/A</v>
      </c>
      <c r="AT39" s="945" t="b">
        <f t="shared" si="29"/>
        <v>0</v>
      </c>
      <c r="AU39" s="946" t="str">
        <f t="shared" si="30"/>
        <v/>
      </c>
      <c r="AV39" s="830" t="str">
        <f t="shared" si="31"/>
        <v/>
      </c>
      <c r="AW39" s="830" t="str">
        <f t="shared" si="32"/>
        <v/>
      </c>
      <c r="AX39" s="830" t="str">
        <f t="shared" si="106"/>
        <v/>
      </c>
      <c r="AY39" s="1039" t="b">
        <f t="shared" si="33"/>
        <v>0</v>
      </c>
      <c r="AZ39" s="856" t="str">
        <f t="shared" si="34"/>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t="str">
        <f t="shared" si="47"/>
        <v/>
      </c>
      <c r="CS39" s="751" t="str">
        <f t="shared" si="48"/>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e">
        <f t="shared" si="70"/>
        <v>#N/A</v>
      </c>
      <c r="EI39" s="856" t="e">
        <f t="shared" si="71"/>
        <v>#N/A</v>
      </c>
      <c r="EJ39" s="822" t="str">
        <f t="shared" si="72"/>
        <v/>
      </c>
      <c r="EK39" s="822" t="str">
        <f t="shared" si="72"/>
        <v/>
      </c>
      <c r="EL39" s="1293" t="str">
        <f t="shared" si="73"/>
        <v/>
      </c>
      <c r="EM39" s="822" t="str">
        <f t="shared" si="74"/>
        <v/>
      </c>
      <c r="EN39" s="822" t="str">
        <f t="shared" si="75"/>
        <v/>
      </c>
      <c r="EO39" s="856" t="e">
        <f t="shared" si="76"/>
        <v>#N/A</v>
      </c>
      <c r="EP39" s="856" t="e">
        <f t="shared" si="77"/>
        <v>#N/A</v>
      </c>
      <c r="EQ39" s="1293" t="str">
        <f t="shared" si="78"/>
        <v/>
      </c>
      <c r="ER39" s="822" t="str">
        <f t="shared" si="78"/>
        <v/>
      </c>
      <c r="ES39" s="822" t="str">
        <f t="shared" si="79"/>
        <v/>
      </c>
      <c r="ET39" s="822" t="str">
        <f t="shared" si="80"/>
        <v/>
      </c>
      <c r="EU39" s="829" t="str">
        <f t="shared" si="81"/>
        <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t="str">
        <f t="shared" si="119"/>
        <v/>
      </c>
      <c r="GB39" s="1792" t="str">
        <f t="shared" si="120"/>
        <v/>
      </c>
      <c r="GC39" s="1793" t="str">
        <f t="shared" si="121"/>
        <v/>
      </c>
      <c r="GD39" s="1794" t="str">
        <f t="shared" si="122"/>
        <v/>
      </c>
      <c r="GE39" s="1795" t="str">
        <f t="shared" si="102"/>
        <v/>
      </c>
      <c r="GF39" s="600" t="str">
        <f t="shared" si="103"/>
        <v/>
      </c>
      <c r="GG39" s="1130"/>
      <c r="GH39" s="1131"/>
      <c r="GI39" s="1130"/>
      <c r="GJ39" s="1131"/>
      <c r="GK39" s="1638">
        <f t="shared" si="104"/>
        <v>0</v>
      </c>
      <c r="GL39" s="1636" t="e">
        <f t="shared" si="105"/>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09"/>
        <v/>
      </c>
      <c r="B40" s="1681"/>
      <c r="C40" s="1449" t="str">
        <f t="shared" si="110"/>
        <v/>
      </c>
      <c r="D40" s="1705" t="str">
        <f t="shared" si="111"/>
        <v/>
      </c>
      <c r="E40" s="1706" t="str">
        <f t="shared" si="112"/>
        <v/>
      </c>
      <c r="F40" s="1714" t="str">
        <f t="shared" si="1"/>
        <v/>
      </c>
      <c r="G40" s="1709" t="str">
        <f t="shared" si="2"/>
        <v/>
      </c>
      <c r="H40" s="1779" t="str">
        <f t="shared" si="3"/>
        <v/>
      </c>
      <c r="I40" s="1705" t="str">
        <f t="shared" si="4"/>
        <v/>
      </c>
      <c r="J40" s="1709" t="str">
        <f t="shared" si="5"/>
        <v/>
      </c>
      <c r="K40" s="1796" t="str">
        <f t="shared" si="6"/>
        <v/>
      </c>
      <c r="L40" s="1712" t="str">
        <f t="shared" si="113"/>
        <v/>
      </c>
      <c r="M40" s="1713" t="str">
        <f t="shared" si="113"/>
        <v/>
      </c>
      <c r="N40" s="1708" t="str">
        <f t="shared" si="7"/>
        <v/>
      </c>
      <c r="O40" s="1709" t="str">
        <f t="shared" si="8"/>
        <v/>
      </c>
      <c r="P40" s="1710" t="str">
        <f t="shared" si="9"/>
        <v/>
      </c>
      <c r="Q40" s="1705" t="str">
        <f t="shared" si="10"/>
        <v/>
      </c>
      <c r="R40" s="1709" t="str">
        <f t="shared" si="11"/>
        <v/>
      </c>
      <c r="S40" s="1711" t="str">
        <f t="shared" si="12"/>
        <v/>
      </c>
      <c r="T40" s="1714" t="str">
        <f t="shared" si="114"/>
        <v/>
      </c>
      <c r="U40" s="1709" t="str">
        <f t="shared" si="115"/>
        <v/>
      </c>
      <c r="V40" s="1705" t="str">
        <f t="shared" si="116"/>
        <v/>
      </c>
      <c r="W40" s="1709" t="str">
        <f t="shared" si="117"/>
        <v/>
      </c>
      <c r="X40" s="1713">
        <f t="shared" si="118"/>
        <v>0</v>
      </c>
      <c r="Y40" s="1781" t="str">
        <f t="shared" si="13"/>
        <v/>
      </c>
      <c r="Z40" s="1782" t="str">
        <f t="shared" si="14"/>
        <v/>
      </c>
      <c r="AA40" s="1783" t="s">
        <v>116</v>
      </c>
      <c r="AB40" s="1413"/>
      <c r="AC40" s="964" t="b">
        <v>0</v>
      </c>
      <c r="AD40" s="441">
        <f t="shared" si="15"/>
        <v>0</v>
      </c>
      <c r="AE40" s="442">
        <f t="shared" si="16"/>
        <v>0</v>
      </c>
      <c r="AF40" s="442">
        <f t="shared" si="17"/>
        <v>0</v>
      </c>
      <c r="AG40" s="442">
        <f t="shared" si="18"/>
        <v>0</v>
      </c>
      <c r="AH40" s="443">
        <f t="shared" si="19"/>
        <v>0</v>
      </c>
      <c r="AI40" s="444" t="b">
        <v>0</v>
      </c>
      <c r="AJ40" s="238">
        <f t="shared" si="20"/>
        <v>0</v>
      </c>
      <c r="AK40" s="830" t="str">
        <f t="shared" si="21"/>
        <v/>
      </c>
      <c r="AL40" s="945" t="str">
        <f t="shared" si="22"/>
        <v/>
      </c>
      <c r="AM40" s="830" t="str">
        <f t="shared" si="23"/>
        <v/>
      </c>
      <c r="AN40" s="830" t="str">
        <f t="shared" si="24"/>
        <v/>
      </c>
      <c r="AO40" s="830" t="str">
        <f t="shared" si="25"/>
        <v/>
      </c>
      <c r="AP40" s="830" t="b">
        <f>IF(ISERROR(AJ40),FALSE,IF(OR(AJ40=0,ISERROR(AL40),ISERROR(AM40),ISERROR(AN40),ISERROR(AO40)),FALSE,IF(AL40&lt;&gt;"",IF(ISERROR(VLOOKUP(SUBSTITUTE(SUBSTITUTE(C40,"R",""),"A",""),TblJoistSize!$A:$A,1,FALSE)),FALSE,TRUE),TRUE)))</f>
        <v>0</v>
      </c>
      <c r="AQ40" s="1038" t="e">
        <f t="shared" si="26"/>
        <v>#N/A</v>
      </c>
      <c r="AR40" s="945" t="b">
        <f t="shared" si="27"/>
        <v>0</v>
      </c>
      <c r="AS40" s="1038" t="e">
        <f t="shared" si="28"/>
        <v>#N/A</v>
      </c>
      <c r="AT40" s="945" t="b">
        <f t="shared" si="29"/>
        <v>0</v>
      </c>
      <c r="AU40" s="946" t="str">
        <f t="shared" si="30"/>
        <v/>
      </c>
      <c r="AV40" s="830" t="str">
        <f t="shared" si="31"/>
        <v/>
      </c>
      <c r="AW40" s="830" t="str">
        <f t="shared" si="32"/>
        <v/>
      </c>
      <c r="AX40" s="830" t="str">
        <f t="shared" si="106"/>
        <v/>
      </c>
      <c r="AY40" s="1039" t="b">
        <f t="shared" si="33"/>
        <v>0</v>
      </c>
      <c r="AZ40" s="856" t="str">
        <f t="shared" si="34"/>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t="str">
        <f t="shared" si="47"/>
        <v/>
      </c>
      <c r="CS40" s="751" t="str">
        <f t="shared" si="48"/>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e">
        <f t="shared" si="70"/>
        <v>#N/A</v>
      </c>
      <c r="EI40" s="856" t="e">
        <f t="shared" si="71"/>
        <v>#N/A</v>
      </c>
      <c r="EJ40" s="822" t="str">
        <f t="shared" si="72"/>
        <v/>
      </c>
      <c r="EK40" s="822" t="str">
        <f t="shared" si="72"/>
        <v/>
      </c>
      <c r="EL40" s="1293" t="str">
        <f t="shared" si="73"/>
        <v/>
      </c>
      <c r="EM40" s="822" t="str">
        <f t="shared" si="74"/>
        <v/>
      </c>
      <c r="EN40" s="822" t="str">
        <f t="shared" si="75"/>
        <v/>
      </c>
      <c r="EO40" s="856" t="e">
        <f t="shared" si="76"/>
        <v>#N/A</v>
      </c>
      <c r="EP40" s="856" t="e">
        <f t="shared" si="77"/>
        <v>#N/A</v>
      </c>
      <c r="EQ40" s="1293" t="str">
        <f t="shared" si="78"/>
        <v/>
      </c>
      <c r="ER40" s="822" t="str">
        <f t="shared" si="78"/>
        <v/>
      </c>
      <c r="ES40" s="822" t="str">
        <f t="shared" si="79"/>
        <v/>
      </c>
      <c r="ET40" s="822" t="str">
        <f t="shared" si="80"/>
        <v/>
      </c>
      <c r="EU40" s="829" t="str">
        <f t="shared" si="81"/>
        <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t="str">
        <f t="shared" si="119"/>
        <v/>
      </c>
      <c r="GB40" s="1792" t="str">
        <f t="shared" si="120"/>
        <v/>
      </c>
      <c r="GC40" s="1793" t="str">
        <f t="shared" si="121"/>
        <v/>
      </c>
      <c r="GD40" s="1794" t="str">
        <f t="shared" si="122"/>
        <v/>
      </c>
      <c r="GE40" s="1795" t="str">
        <f t="shared" si="102"/>
        <v/>
      </c>
      <c r="GF40" s="600" t="str">
        <f t="shared" si="103"/>
        <v/>
      </c>
      <c r="GG40" s="1130"/>
      <c r="GH40" s="1131"/>
      <c r="GI40" s="1130"/>
      <c r="GJ40" s="1131"/>
      <c r="GK40" s="1638">
        <f t="shared" si="104"/>
        <v>0</v>
      </c>
      <c r="GL40" s="1636" t="e">
        <f t="shared" si="105"/>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09"/>
        <v/>
      </c>
      <c r="B41" s="1681"/>
      <c r="C41" s="1449" t="str">
        <f t="shared" si="110"/>
        <v/>
      </c>
      <c r="D41" s="1705" t="str">
        <f t="shared" si="111"/>
        <v/>
      </c>
      <c r="E41" s="1706" t="str">
        <f t="shared" si="112"/>
        <v/>
      </c>
      <c r="F41" s="1714" t="str">
        <f t="shared" si="1"/>
        <v/>
      </c>
      <c r="G41" s="1709" t="str">
        <f t="shared" si="2"/>
        <v/>
      </c>
      <c r="H41" s="1779" t="str">
        <f t="shared" si="3"/>
        <v/>
      </c>
      <c r="I41" s="1705" t="str">
        <f t="shared" si="4"/>
        <v/>
      </c>
      <c r="J41" s="1709" t="str">
        <f t="shared" si="5"/>
        <v/>
      </c>
      <c r="K41" s="1796" t="str">
        <f t="shared" si="6"/>
        <v/>
      </c>
      <c r="L41" s="1712" t="str">
        <f t="shared" si="113"/>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si="114"/>
        <v/>
      </c>
      <c r="U41" s="1709" t="str">
        <f t="shared" si="115"/>
        <v/>
      </c>
      <c r="V41" s="1705" t="str">
        <f t="shared" si="116"/>
        <v/>
      </c>
      <c r="W41" s="1709" t="str">
        <f t="shared" si="117"/>
        <v/>
      </c>
      <c r="X41" s="1713">
        <f t="shared" si="118"/>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si="119"/>
        <v/>
      </c>
      <c r="GB41" s="1792" t="str">
        <f t="shared" si="120"/>
        <v/>
      </c>
      <c r="GC41" s="1793" t="str">
        <f t="shared" si="121"/>
        <v/>
      </c>
      <c r="GD41" s="1794" t="str">
        <f t="shared" si="122"/>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10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10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1688</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t="str">
        <f t="shared" si="127"/>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28"/>
        <v/>
      </c>
      <c r="EN82" s="447" t="str">
        <f>IF(BD23="","",IF(ISERROR(VLOOKUP(BD23,TblJoistSize!$A$1:$G$274,2,FALSE)),"-",VLOOKUP(BD23,TblJoistSize!$A$1:$G$274,2,FALSE)))</f>
        <v/>
      </c>
      <c r="EO82" s="448" t="str">
        <f t="shared" si="129"/>
        <v/>
      </c>
    </row>
    <row r="83" spans="140:145" ht="15" customHeight="1" x14ac:dyDescent="0.2">
      <c r="EJ83" s="507" t="str">
        <f t="shared" si="127"/>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28"/>
        <v/>
      </c>
      <c r="EN83" s="447" t="str">
        <f>IF(BD24="","",IF(ISERROR(VLOOKUP(BD24,TblJoistSize!$A$1:$G$274,2,FALSE)),"-",VLOOKUP(BD24,TblJoistSize!$A$1:$G$274,2,FALSE)))</f>
        <v/>
      </c>
      <c r="EO83" s="448" t="str">
        <f t="shared" si="129"/>
        <v/>
      </c>
    </row>
    <row r="84" spans="140:145" ht="15" customHeight="1" x14ac:dyDescent="0.2">
      <c r="EJ84" s="507" t="str">
        <f t="shared" si="127"/>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28"/>
        <v/>
      </c>
      <c r="EN84" s="447" t="str">
        <f>IF(BD25="","",IF(ISERROR(VLOOKUP(BD25,TblJoistSize!$A$1:$G$274,2,FALSE)),"-",VLOOKUP(BD25,TblJoistSize!$A$1:$G$274,2,FALSE)))</f>
        <v/>
      </c>
      <c r="EO84" s="448" t="str">
        <f t="shared" si="129"/>
        <v/>
      </c>
    </row>
    <row r="85" spans="140:145" ht="15" customHeight="1" x14ac:dyDescent="0.2">
      <c r="EJ85" s="507" t="str">
        <f t="shared" si="127"/>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28"/>
        <v/>
      </c>
      <c r="EN85" s="447" t="str">
        <f>IF(BD26="","",IF(ISERROR(VLOOKUP(BD26,TblJoistSize!$A$1:$G$274,2,FALSE)),"-",VLOOKUP(BD26,TblJoistSize!$A$1:$G$274,2,FALSE)))</f>
        <v/>
      </c>
      <c r="EO85" s="448" t="str">
        <f t="shared" si="129"/>
        <v/>
      </c>
    </row>
    <row r="86" spans="140:145" ht="15" customHeight="1" x14ac:dyDescent="0.2">
      <c r="EJ86" s="507" t="str">
        <f t="shared" si="127"/>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28"/>
        <v/>
      </c>
      <c r="EN86" s="447" t="str">
        <f>IF(BD27="","",IF(ISERROR(VLOOKUP(BD27,TblJoistSize!$A$1:$G$274,2,FALSE)),"-",VLOOKUP(BD27,TblJoistSize!$A$1:$G$274,2,FALSE)))</f>
        <v/>
      </c>
      <c r="EO86" s="448" t="str">
        <f t="shared" si="129"/>
        <v/>
      </c>
    </row>
    <row r="87" spans="140:145" ht="15" customHeight="1" x14ac:dyDescent="0.2">
      <c r="EJ87" s="507" t="str">
        <f t="shared" si="127"/>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28"/>
        <v/>
      </c>
      <c r="EN87" s="447" t="str">
        <f>IF(BD28="","",IF(ISERROR(VLOOKUP(BD28,TblJoistSize!$A$1:$G$274,2,FALSE)),"-",VLOOKUP(BD28,TblJoistSize!$A$1:$G$274,2,FALSE)))</f>
        <v/>
      </c>
      <c r="EO87" s="448" t="str">
        <f t="shared" si="129"/>
        <v/>
      </c>
    </row>
    <row r="88" spans="140:145" ht="15" customHeight="1" x14ac:dyDescent="0.2">
      <c r="EJ88" s="507" t="str">
        <f t="shared" si="127"/>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28"/>
        <v/>
      </c>
      <c r="EN88" s="447" t="str">
        <f>IF(BD29="","",IF(ISERROR(VLOOKUP(BD29,TblJoistSize!$A$1:$G$274,2,FALSE)),"-",VLOOKUP(BD29,TblJoistSize!$A$1:$G$274,2,FALSE)))</f>
        <v/>
      </c>
      <c r="EO88" s="448" t="str">
        <f t="shared" si="129"/>
        <v/>
      </c>
    </row>
    <row r="89" spans="140:145" ht="15" customHeight="1" x14ac:dyDescent="0.2">
      <c r="EJ89" s="507" t="str">
        <f t="shared" si="127"/>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28"/>
        <v/>
      </c>
      <c r="EN89" s="447" t="str">
        <f>IF(BD30="","",IF(ISERROR(VLOOKUP(BD30,TblJoistSize!$A$1:$G$274,2,FALSE)),"-",VLOOKUP(BD30,TblJoistSize!$A$1:$G$274,2,FALSE)))</f>
        <v/>
      </c>
      <c r="EO89" s="448" t="str">
        <f t="shared" si="129"/>
        <v/>
      </c>
    </row>
    <row r="90" spans="140:145" ht="15" customHeight="1" x14ac:dyDescent="0.2">
      <c r="EJ90" s="507" t="str">
        <f t="shared" si="127"/>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28"/>
        <v/>
      </c>
      <c r="EN90" s="447" t="str">
        <f>IF(BD31="","",IF(ISERROR(VLOOKUP(BD31,TblJoistSize!$A$1:$G$274,2,FALSE)),"-",VLOOKUP(BD31,TblJoistSize!$A$1:$G$274,2,FALSE)))</f>
        <v/>
      </c>
      <c r="EO90" s="448" t="str">
        <f t="shared" si="129"/>
        <v/>
      </c>
    </row>
    <row r="91" spans="140:145" ht="15" customHeight="1" x14ac:dyDescent="0.2">
      <c r="EJ91" s="507" t="str">
        <f t="shared" si="127"/>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28"/>
        <v/>
      </c>
      <c r="EN91" s="447" t="str">
        <f>IF(BD32="","",IF(ISERROR(VLOOKUP(BD32,TblJoistSize!$A$1:$G$274,2,FALSE)),"-",VLOOKUP(BD32,TblJoistSize!$A$1:$G$274,2,FALSE)))</f>
        <v/>
      </c>
      <c r="EO91" s="448" t="str">
        <f t="shared" si="129"/>
        <v/>
      </c>
    </row>
    <row r="92" spans="140:145" ht="15" customHeight="1" x14ac:dyDescent="0.2">
      <c r="EJ92" s="507" t="str">
        <f t="shared" si="127"/>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28"/>
        <v/>
      </c>
      <c r="EN92" s="447" t="str">
        <f>IF(BD33="","",IF(ISERROR(VLOOKUP(BD33,TblJoistSize!$A$1:$G$274,2,FALSE)),"-",VLOOKUP(BD33,TblJoistSize!$A$1:$G$274,2,FALSE)))</f>
        <v/>
      </c>
      <c r="EO92" s="448" t="str">
        <f t="shared" si="129"/>
        <v/>
      </c>
    </row>
    <row r="93" spans="140:145" ht="15" customHeight="1" x14ac:dyDescent="0.2">
      <c r="EJ93" s="507" t="str">
        <f t="shared" si="127"/>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28"/>
        <v/>
      </c>
      <c r="EN93" s="447" t="str">
        <f>IF(BD34="","",IF(ISERROR(VLOOKUP(BD34,TblJoistSize!$A$1:$G$274,2,FALSE)),"-",VLOOKUP(BD34,TblJoistSize!$A$1:$G$274,2,FALSE)))</f>
        <v/>
      </c>
      <c r="EO93" s="448" t="str">
        <f t="shared" si="129"/>
        <v/>
      </c>
    </row>
    <row r="94" spans="140:145" ht="15" customHeight="1" x14ac:dyDescent="0.2">
      <c r="EJ94" s="507" t="str">
        <f t="shared" si="127"/>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28"/>
        <v/>
      </c>
      <c r="EN94" s="447" t="str">
        <f>IF(BD35="","",IF(ISERROR(VLOOKUP(BD35,TblJoistSize!$A$1:$G$274,2,FALSE)),"-",VLOOKUP(BD35,TblJoistSize!$A$1:$G$274,2,FALSE)))</f>
        <v/>
      </c>
      <c r="EO94" s="448" t="str">
        <f t="shared" si="129"/>
        <v/>
      </c>
    </row>
    <row r="95" spans="140:145" ht="15" customHeight="1" x14ac:dyDescent="0.2">
      <c r="EJ95" s="507" t="str">
        <f t="shared" si="127"/>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28"/>
        <v/>
      </c>
      <c r="EN95" s="447" t="str">
        <f>IF(BD36="","",IF(ISERROR(VLOOKUP(BD36,TblJoistSize!$A$1:$G$274,2,FALSE)),"-",VLOOKUP(BD36,TblJoistSize!$A$1:$G$274,2,FALSE)))</f>
        <v/>
      </c>
      <c r="EO95" s="448" t="str">
        <f t="shared" si="129"/>
        <v/>
      </c>
    </row>
    <row r="96" spans="140:145" ht="15" customHeight="1" x14ac:dyDescent="0.2">
      <c r="EJ96" s="507" t="str">
        <f t="shared" si="127"/>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28"/>
        <v/>
      </c>
      <c r="EN96" s="447" t="str">
        <f>IF(BD37="","",IF(ISERROR(VLOOKUP(BD37,TblJoistSize!$A$1:$G$274,2,FALSE)),"-",VLOOKUP(BD37,TblJoistSize!$A$1:$G$274,2,FALSE)))</f>
        <v/>
      </c>
      <c r="EO96" s="448" t="str">
        <f t="shared" si="129"/>
        <v/>
      </c>
    </row>
    <row r="97" spans="140:145" ht="15" customHeight="1" x14ac:dyDescent="0.2">
      <c r="EJ97" s="507" t="str">
        <f t="shared" si="127"/>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28"/>
        <v/>
      </c>
      <c r="EN97" s="447" t="str">
        <f>IF(BD38="","",IF(ISERROR(VLOOKUP(BD38,TblJoistSize!$A$1:$G$274,2,FALSE)),"-",VLOOKUP(BD38,TblJoistSize!$A$1:$G$274,2,FALSE)))</f>
        <v/>
      </c>
      <c r="EO97" s="448" t="str">
        <f t="shared" si="129"/>
        <v/>
      </c>
    </row>
    <row r="98" spans="140:145" ht="15" customHeight="1" x14ac:dyDescent="0.2">
      <c r="EJ98" s="507" t="str">
        <f t="shared" si="127"/>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28"/>
        <v/>
      </c>
      <c r="EN98" s="447" t="str">
        <f>IF(BD39="","",IF(ISERROR(VLOOKUP(BD39,TblJoistSize!$A$1:$G$274,2,FALSE)),"-",VLOOKUP(BD39,TblJoistSize!$A$1:$G$274,2,FALSE)))</f>
        <v/>
      </c>
      <c r="EO98" s="448" t="str">
        <f t="shared" si="129"/>
        <v/>
      </c>
    </row>
    <row r="99" spans="140:145" ht="15" customHeight="1" x14ac:dyDescent="0.2">
      <c r="EJ99" s="507" t="str">
        <f t="shared" si="127"/>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dx1NKj0lFHJi8nYu+fm8esoc3ipj5JW7TDsIf6sWROtYP6lDj7AO9yhdWv/eGBb9SCScmRlUwjVV1/67vIviKw==" saltValue="GFfO+gQChsWEFY/YJG03/g=="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273" priority="53" stopIfTrue="1" operator="notEqual">
      <formula>$EG57</formula>
    </cfRule>
  </conditionalFormatting>
  <conditionalFormatting sqref="EM57">
    <cfRule type="cellIs" dxfId="272" priority="54" stopIfTrue="1" operator="notEqual">
      <formula>$EN57</formula>
    </cfRule>
  </conditionalFormatting>
  <conditionalFormatting sqref="P2:S4">
    <cfRule type="cellIs" dxfId="271" priority="56" stopIfTrue="1" operator="equal">
      <formula>""</formula>
    </cfRule>
  </conditionalFormatting>
  <conditionalFormatting sqref="EF16:EF45">
    <cfRule type="cellIs" dxfId="270" priority="52" stopIfTrue="1" operator="notEqual">
      <formula>$EG16</formula>
    </cfRule>
  </conditionalFormatting>
  <conditionalFormatting sqref="CC7">
    <cfRule type="expression" dxfId="269" priority="51" stopIfTrue="1">
      <formula>ISBLANK($CC$7)</formula>
    </cfRule>
  </conditionalFormatting>
  <conditionalFormatting sqref="CC6">
    <cfRule type="expression" dxfId="268" priority="50" stopIfTrue="1">
      <formula>ISBLANK($CC$6)</formula>
    </cfRule>
  </conditionalFormatting>
  <conditionalFormatting sqref="M7">
    <cfRule type="expression" dxfId="267" priority="48" stopIfTrue="1">
      <formula>OR(ISBLANK($M$7),$M$7="")</formula>
    </cfRule>
    <cfRule type="expression" dxfId="266" priority="49" stopIfTrue="1">
      <formula>NOT(OR(COUNTIF(masterFinishList, $M$7) &gt; 0, COUNTIF($M$7, "Other:*") &gt; 0))</formula>
    </cfRule>
  </conditionalFormatting>
  <conditionalFormatting sqref="BD16:BD45">
    <cfRule type="expression" dxfId="265" priority="47">
      <formula>AND(NOT($AY16),NOT($AP16))</formula>
    </cfRule>
  </conditionalFormatting>
  <conditionalFormatting sqref="C16:C45">
    <cfRule type="expression" dxfId="264" priority="45">
      <formula>AND(NOT($AY16),NOT($AP16))</formula>
    </cfRule>
  </conditionalFormatting>
  <conditionalFormatting sqref="X16:X45">
    <cfRule type="expression" dxfId="263" priority="28">
      <formula>$X16=0</formula>
    </cfRule>
  </conditionalFormatting>
  <conditionalFormatting sqref="CG16:CG45">
    <cfRule type="expression" dxfId="262" priority="55">
      <formula>OR(CH16&lt;&gt;"",CI16&lt;&gt;"",CJ16&lt;&gt;"",CK16&lt;&gt;"",CL16&lt;&gt;"",CM16&lt;&gt;"",CP16&lt;&gt;"",CQ16&lt;&gt;"")</formula>
    </cfRule>
  </conditionalFormatting>
  <conditionalFormatting sqref="BE16:BF45">
    <cfRule type="expression" dxfId="261" priority="57">
      <formula>AND(NOT($AY16),AND($AZ16,AND($AK16&lt;&gt;"HDR",$AK16&lt;&gt;"JS",$AJ16&gt;=8)))</formula>
    </cfRule>
  </conditionalFormatting>
  <conditionalFormatting sqref="D16:E45">
    <cfRule type="expression" dxfId="260" priority="46">
      <formula>AND(NOT($AY16),AND($AZ16,AND($AK16&lt;&gt;"HDR",$AK16&lt;&gt;"JS",$AJ16&gt;=8)))</formula>
    </cfRule>
    <cfRule type="expression" dxfId="259" priority="80" stopIfTrue="1">
      <formula xml:space="preserve"> AND($GM16 &gt;= 0.125, $GL16 &gt; 0)</formula>
    </cfRule>
  </conditionalFormatting>
  <conditionalFormatting sqref="AA12">
    <cfRule type="expression" dxfId="258" priority="44">
      <formula>OR(ISBLANK(AA12),AA12="")</formula>
    </cfRule>
  </conditionalFormatting>
  <conditionalFormatting sqref="A16:S45 X16:AA45 BB16:CD45">
    <cfRule type="expression" dxfId="257" priority="58">
      <formula>$AC16</formula>
    </cfRule>
  </conditionalFormatting>
  <conditionalFormatting sqref="BG16:BG45">
    <cfRule type="expression" dxfId="256" priority="29">
      <formula>AND(NOT($AY16),ISERROR(CU16))</formula>
    </cfRule>
    <cfRule type="expression" dxfId="255" priority="42">
      <formula>AND(NOT($AY16),OR(CP16&lt;&gt;"", CU16=""))</formula>
    </cfRule>
  </conditionalFormatting>
  <conditionalFormatting sqref="BH16:BH45">
    <cfRule type="expression" dxfId="254" priority="36">
      <formula>AND(NOT($AY16),OR($CU16="M",$CU16="C",AND($CU16="B",$DC16&gt;0)))</formula>
    </cfRule>
    <cfRule type="expression" dxfId="253" priority="37">
      <formula>AND(NOT($AY16),AND(BH16="",BI16="",OR($CU16="B",$CU16="G")))</formula>
    </cfRule>
    <cfRule type="expression" dxfId="252" priority="38">
      <formula>AND(NOT($AY16),(BH16/2)/COS(RADIANS(BM16))+CV16-DW16&lt;VLOOKUP(AU16,$DF$2:$DJ$9,5,FALSE))</formula>
    </cfRule>
  </conditionalFormatting>
  <conditionalFormatting sqref="BI16:BI45">
    <cfRule type="expression" dxfId="251" priority="39">
      <formula>AND(NOT($AY16),OR($CU16="M",$CU16="C",AND($CU16="B",$DC16&gt;0)))</formula>
    </cfRule>
    <cfRule type="expression" dxfId="250" priority="40">
      <formula>AND(NOT($AY16),AND(BH16="",BI16="",OR($CU16="B",$CU16="G")))</formula>
    </cfRule>
    <cfRule type="expression" dxfId="249" priority="41">
      <formula>AND(NOT($AY16),(BI16/2)/COS(RADIANS(BM16))+CV16-DW16&lt;VLOOKUP(AU16,$DF$2:$DJ$9,5,FALSE))</formula>
    </cfRule>
  </conditionalFormatting>
  <conditionalFormatting sqref="BK16:BK45">
    <cfRule type="expression" dxfId="248" priority="30">
      <formula>AND(NOT($AY16),OR($CU16="M",$CU16="C",AND($CU16="B",$DA16&lt;&gt;"")))</formula>
    </cfRule>
    <cfRule type="expression" dxfId="247" priority="31">
      <formula>AND(NOT($AY16),AND(BJ16="X",BK16="",BL16=""))</formula>
    </cfRule>
    <cfRule type="expression" dxfId="246" priority="32">
      <formula>AND(NOT($AY16),EZ16="ERR")</formula>
    </cfRule>
  </conditionalFormatting>
  <conditionalFormatting sqref="BL16:BL45">
    <cfRule type="expression" dxfId="245" priority="33">
      <formula>AND(NOT($AY16),OR($CU16="M",$CU16="C",AND($CU16="B",$DA16&lt;&gt;"")))</formula>
    </cfRule>
    <cfRule type="expression" dxfId="244" priority="34">
      <formula>AND(NOT($AY16),AND(BJ16="X",BK16="",BL16=""))</formula>
    </cfRule>
    <cfRule type="expression" dxfId="243" priority="35">
      <formula>AND(NOT($AY16),EZ16="ERR")</formula>
    </cfRule>
  </conditionalFormatting>
  <conditionalFormatting sqref="A16:B45 BB16:BC45">
    <cfRule type="expression" dxfId="242" priority="43">
      <formula>AND(NOT($AE$1),$B16=0,$AD$1="M")</formula>
    </cfRule>
  </conditionalFormatting>
  <conditionalFormatting sqref="AA16:AA45">
    <cfRule type="expression" dxfId="241" priority="27">
      <formula>AND(NOT($AY16),LEN(AA16)&gt;31)</formula>
    </cfRule>
  </conditionalFormatting>
  <conditionalFormatting sqref="GA16:GB45">
    <cfRule type="expression" dxfId="240" priority="26" stopIfTrue="1">
      <formula>$GM16&gt;=0.125</formula>
    </cfRule>
  </conditionalFormatting>
  <conditionalFormatting sqref="BO16:BO45">
    <cfRule type="expression" dxfId="239" priority="21">
      <formula>AND(BO16="X",CY16="")</formula>
    </cfRule>
    <cfRule type="expression" dxfId="238" priority="22">
      <formula>AND(BO16="",CY16&lt;&gt;"")</formula>
    </cfRule>
  </conditionalFormatting>
  <conditionalFormatting sqref="CA16:CA45">
    <cfRule type="expression" dxfId="237" priority="23">
      <formula>AND(CA16="X",DI16="")</formula>
    </cfRule>
    <cfRule type="expression" dxfId="236" priority="24">
      <formula>AND(CA16="",DI16&lt;&gt;"")</formula>
    </cfRule>
  </conditionalFormatting>
  <conditionalFormatting sqref="CE16:CG45">
    <cfRule type="expression" dxfId="235" priority="25">
      <formula>$AC16</formula>
    </cfRule>
  </conditionalFormatting>
  <conditionalFormatting sqref="EM16:EM45">
    <cfRule type="cellIs" dxfId="234" priority="20" stopIfTrue="1" operator="notEqual">
      <formula>$EN16</formula>
    </cfRule>
  </conditionalFormatting>
  <conditionalFormatting sqref="U16:U45">
    <cfRule type="expression" dxfId="233" priority="16">
      <formula>AND(NOT($AY16),NOT(AR16),$P16&lt;&gt;3)</formula>
    </cfRule>
  </conditionalFormatting>
  <conditionalFormatting sqref="W16:W45">
    <cfRule type="expression" dxfId="232" priority="18">
      <formula>AND(NOT($AY16),NOT(AT16),$S16&lt;&gt;3)</formula>
    </cfRule>
  </conditionalFormatting>
  <conditionalFormatting sqref="T16:T45">
    <cfRule type="expression" dxfId="231" priority="15">
      <formula>AND(NOT($AY16),NOT(AR16),$P16&lt;&gt;3)</formula>
    </cfRule>
  </conditionalFormatting>
  <conditionalFormatting sqref="V16:V45">
    <cfRule type="expression" dxfId="230" priority="17">
      <formula>AND(NOT($AY16),NOT(AT16),$S16&lt;&gt;3)</formula>
    </cfRule>
  </conditionalFormatting>
  <conditionalFormatting sqref="T16:W45">
    <cfRule type="expression" dxfId="229" priority="19">
      <formula>$AC16</formula>
    </cfRule>
  </conditionalFormatting>
  <conditionalFormatting sqref="C57">
    <cfRule type="expression" dxfId="228" priority="12">
      <formula>AND(NOT($AY57),NOT($AP57))</formula>
    </cfRule>
  </conditionalFormatting>
  <conditionalFormatting sqref="X57">
    <cfRule type="expression" dxfId="227" priority="10">
      <formula>$X57=0</formula>
    </cfRule>
  </conditionalFormatting>
  <conditionalFormatting sqref="D57:E57">
    <cfRule type="expression" dxfId="226" priority="13">
      <formula>AND(NOT($AY57),AND($AZ57,AND($AK57&lt;&gt;"HDR",$AK57&lt;&gt;"JS",$AJ57&gt;=8)))</formula>
    </cfRule>
  </conditionalFormatting>
  <conditionalFormatting sqref="A57:S57 X57:AA57">
    <cfRule type="expression" dxfId="225" priority="14">
      <formula>$AC57</formula>
    </cfRule>
  </conditionalFormatting>
  <conditionalFormatting sqref="A57:B57">
    <cfRule type="expression" dxfId="224" priority="11">
      <formula>AND(NOT($AE$1),$B57=0,$AD$1="M")</formula>
    </cfRule>
  </conditionalFormatting>
  <conditionalFormatting sqref="AA57">
    <cfRule type="expression" dxfId="223" priority="9">
      <formula>AND(NOT($AY57),LEN(AA57)&gt;31)</formula>
    </cfRule>
  </conditionalFormatting>
  <conditionalFormatting sqref="U57">
    <cfRule type="expression" dxfId="222" priority="5">
      <formula>AND(NOT($AY57),NOT(AR57),$P57&lt;&gt;3)</formula>
    </cfRule>
  </conditionalFormatting>
  <conditionalFormatting sqref="W57">
    <cfRule type="expression" dxfId="221" priority="7">
      <formula>AND(NOT($AY57),NOT(AT57),$S57&lt;&gt;3)</formula>
    </cfRule>
  </conditionalFormatting>
  <conditionalFormatting sqref="T57">
    <cfRule type="expression" dxfId="220" priority="4">
      <formula>AND(NOT($AY57),NOT(AR57),$P57&lt;&gt;3)</formula>
    </cfRule>
  </conditionalFormatting>
  <conditionalFormatting sqref="V57">
    <cfRule type="expression" dxfId="219" priority="6">
      <formula>AND(NOT($AY57),NOT(AT57),$S57&lt;&gt;3)</formula>
    </cfRule>
  </conditionalFormatting>
  <conditionalFormatting sqref="T57:W57">
    <cfRule type="expression" dxfId="218" priority="8">
      <formula>$AC57</formula>
    </cfRule>
  </conditionalFormatting>
  <conditionalFormatting sqref="BQ16:BQ45">
    <cfRule type="expression" dxfId="217" priority="3">
      <formula>CP16&lt;&gt;""</formula>
    </cfRule>
  </conditionalFormatting>
  <conditionalFormatting sqref="CC16:CC45">
    <cfRule type="expression" dxfId="216" priority="2">
      <formula>CQ16&lt;&gt;""</formula>
    </cfRule>
  </conditionalFormatting>
  <conditionalFormatting sqref="BS16:BS45">
    <cfRule type="expression" dxfId="215" priority="59">
      <formula>AND(NOT($AY16),ISERROR(DE16))</formula>
    </cfRule>
    <cfRule type="expression" dxfId="214" priority="60">
      <formula>AND(NOT($AY16),OR(DE16="", CQ16&lt;&gt;""))</formula>
    </cfRule>
  </conditionalFormatting>
  <conditionalFormatting sqref="BW16:BW45">
    <cfRule type="expression" dxfId="213" priority="61">
      <formula>AND(NOT($AY16),OR($DE16="M",$DE16="C",AND($DE16="B",$DK16&lt;&gt;"")))</formula>
    </cfRule>
    <cfRule type="expression" dxfId="212" priority="62">
      <formula>AND(NOT($AY16),AND(BV16="X",BW16="",BX16=""))</formula>
    </cfRule>
    <cfRule type="expression" dxfId="211" priority="63">
      <formula>AND(NOT($AY16),FC16="ERR")</formula>
    </cfRule>
  </conditionalFormatting>
  <conditionalFormatting sqref="BX16:BX45">
    <cfRule type="expression" dxfId="210" priority="64">
      <formula>AND(NOT($AY16),OR($DE16="M",$DE16="C",AND($DE16="B",$DK16&lt;&gt;"")))</formula>
    </cfRule>
    <cfRule type="expression" dxfId="209" priority="65">
      <formula>AND(NOT($AY16),AND(BV16="X",BW16="",BX16=""))</formula>
    </cfRule>
    <cfRule type="expression" dxfId="208" priority="66">
      <formula>AND(NOT($AY16),FC16="ERR")</formula>
    </cfRule>
  </conditionalFormatting>
  <conditionalFormatting sqref="BT16:BT45">
    <cfRule type="expression" dxfId="207" priority="67">
      <formula>AND(NOT($AY16),OR($DE16="M",$DE16="C",AND($DE16="B",$DM16&gt;0)))</formula>
    </cfRule>
    <cfRule type="expression" dxfId="206" priority="68">
      <formula>AND(NOT($AY16),AND(BT16="",BU16="",OR($DE16="B",$DE16="G")))</formula>
    </cfRule>
    <cfRule type="expression" dxfId="205" priority="69">
      <formula>AND(NOT($AY16),(BT16/2)/COS(RADIANS(BY16))+DF16-EC16&lt;VLOOKUP(AU16,$DF$2:$DJ$9,5,FALSE))</formula>
    </cfRule>
  </conditionalFormatting>
  <conditionalFormatting sqref="BU16:BU45">
    <cfRule type="expression" dxfId="204" priority="70">
      <formula>AND(NOT($AY16),OR($DE16="M",$DE16="C",AND($DE16="B",$DM16&gt;0)))</formula>
    </cfRule>
    <cfRule type="expression" dxfId="203" priority="71">
      <formula>AND(NOT($AY16),AND(BT16="",BU16="",OR($DE16="B",$DE16="G")))</formula>
    </cfRule>
    <cfRule type="expression" dxfId="202" priority="72">
      <formula>AND(NOT($AY16),(BU16/2)/COS(RADIANS(BY16))+DF16-EC16&lt;VLOOKUP(AU16,$DF$2:$DJ$9,5,FALSE))</formula>
    </cfRule>
  </conditionalFormatting>
  <conditionalFormatting sqref="BZ16:BZ45 BN16:BN45">
    <cfRule type="expression" dxfId="201" priority="73">
      <formula>AND(NOT($AY16),AND(ISBLANK(BN16),AND(NOT(ISBLANK(BM16)),$CE16&lt;&gt;0)))</formula>
    </cfRule>
  </conditionalFormatting>
  <conditionalFormatting sqref="BJ16:BJ45">
    <cfRule type="expression" dxfId="200" priority="74">
      <formula>AND(NOT($AY16),OR($CU16="C",AND($CU16="M",$DA16&gt;0)))</formula>
    </cfRule>
    <cfRule type="expression" dxfId="199" priority="75">
      <formula>AND(NOT($AY16),OR(NOT(IF(AND(OR(MID($BB16,1,1)="T",($BE16+$BF16/12)/IF(ABS($CE16)&gt;$DQ$1,COS($DO16),1)&gt;=40),OR($CU16="B",$CU16="G")),"X","")="X"),$EZ16="ERR"))</formula>
    </cfRule>
    <cfRule type="expression" dxfId="198" priority="76">
      <formula>AND(NOT($AY16),$BJ16&lt;&gt;"X",$BJ16&lt;&gt;IF(AND(OR(MID(BB16,1,1)="T",($BE16+$BF16/12)/IF(ABS($CE16)&gt;$DQ$1,COS($DO16),1)&gt;=40),OR($CU16="B",$CU16="G")),"X",""))</formula>
    </cfRule>
  </conditionalFormatting>
  <conditionalFormatting sqref="BV16:BV45">
    <cfRule type="expression" dxfId="197" priority="77">
      <formula>AND(NOT($AY16),OR($DE16="C",AND($DE16="M",$DK16&gt;0)))</formula>
    </cfRule>
    <cfRule type="expression" dxfId="196" priority="78">
      <formula>AND(NOT($AY16),OR(NOT(IF(AND(OR(MID($BB16,1,1)="T",($BE16+$BF16/12)/IF(ABS($CE16)&gt;$DQ$1,COS($DO16),1)&gt;=40),OR($DE16="B",$DE16="G")),"X","")="X"),$FC16="ERR"))</formula>
    </cfRule>
    <cfRule type="expression" dxfId="195" priority="79">
      <formula>AND(NOT($AY16),$BV16&lt;&gt;"X",$BV16&lt;&gt;IF(AND(OR(MID(BB16,1,1)="T",($BE16+$BF16/12)/IF(ABS($CE16)&gt;$DQ$1,COS($DO16),1)&gt;=40),OR($DE16="B",$DE16="G")),"X",""))</formula>
    </cfRule>
  </conditionalFormatting>
  <conditionalFormatting sqref="GA57:GB57">
    <cfRule type="expression" dxfId="19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552F47FE-B19D-4F2F-8974-5311196D00F9}">
      <formula1>-1001</formula1>
    </dataValidation>
    <dataValidation type="decimal" operator="greaterThan" allowBlank="1" showInputMessage="1" showErrorMessage="1" errorTitle="Input Error" error="Positive Numeric Values Only!" sqref="BR16:BR45 CD16:CD45" xr:uid="{482EB459-4B52-45C5-B59F-49EC13FCCAD1}">
      <formula1>0</formula1>
    </dataValidation>
    <dataValidation type="decimal" allowBlank="1" showInputMessage="1" showErrorMessage="1" errorTitle="Input Error" error="Numbers from 0&quot; to 11 7/8&quot; only!" sqref="GB16:GB45 GB57" xr:uid="{DD39A368-F57C-409E-B8C8-8288CBA9B04B}">
      <formula1>0</formula1>
      <formula2>11.875</formula2>
    </dataValidation>
    <dataValidation type="whole" operator="greaterThanOrEqual" allowBlank="1" showInputMessage="1" showErrorMessage="1" errorTitle="Input Error" error="Positive Integers Only!" sqref="GA16:GA45 GA57" xr:uid="{8CE50FDC-6FF4-4314-8754-5D0DDA016037}">
      <formula1>0</formula1>
    </dataValidation>
    <dataValidation type="decimal" allowBlank="1" showInputMessage="1" showErrorMessage="1" errorTitle="Input Error" error="Numeric Values Only!" sqref="GC16:GD45 GC57:GD57 BP16:BP45 CB16:CB45" xr:uid="{090D8D79-FEC8-4CB8-BD06-0D645DF5671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CCBA8A94-DB6E-4EE4-916C-6F9A7B6DD4B5}">
      <formula1>$CV16</formula1>
    </dataValidation>
    <dataValidation type="decimal" operator="lessThanOrEqual" allowBlank="1" showInputMessage="1" errorTitle="BL Over-Ride Error!" error="Base Length can't be past Joist Overall Length!  See section for Maximum Over-Ride Dimension." sqref="CC16:CC45" xr:uid="{D73C91A7-3158-4D96-9CD1-E3A522E345B6}">
      <formula1>$DF16</formula1>
    </dataValidation>
    <dataValidation type="whole" operator="greaterThanOrEqual" allowBlank="1" showInputMessage="1" showErrorMessage="1" sqref="B57" xr:uid="{593F7BD0-EDC9-4EA0-AB89-09860773E6A1}">
      <formula1>0</formula1>
    </dataValidation>
    <dataValidation type="decimal" operator="greaterThan" allowBlank="1" showInputMessage="1" showErrorMessage="1" errorTitle="Dimensional Error" error="Only positive numeric values can be entered here." sqref="L16:M45 L57:M57" xr:uid="{CB71D312-E4F8-4C8E-A4A4-7AE74F654BD9}">
      <formula1>0</formula1>
    </dataValidation>
    <dataValidation type="decimal" operator="notEqual" allowBlank="1" showInputMessage="1" showErrorMessage="1" errorTitle="input Error" error="Enter + or - Numbers Only._x000a_Do NOT use &quot;&lt;&quot; or &quot;&gt;&quot;." sqref="Y16:Z45 Y57:Z57" xr:uid="{06D4766E-D48A-43DA-9802-9450567F30AC}">
      <formula1>0</formula1>
    </dataValidation>
    <dataValidation type="decimal" operator="greaterThanOrEqual" allowBlank="1" showInputMessage="1" showErrorMessage="1" errorTitle="Dimensional Error" error="&quot;Inches&quot; must be a number." sqref="BH16:BI45 BK16:BL45 BT16:BU45 BW16:BX45" xr:uid="{FF49EADB-A32A-44A6-ABA9-44A15B79C03A}">
      <formula1>0</formula1>
    </dataValidation>
    <dataValidation type="decimal" allowBlank="1" showInputMessage="1" showErrorMessage="1" errorTitle="Dimensional Error" error="&quot;Inches&quot; must be a number from 0 to 11.875." sqref="BF16:BF45 G16:G45 J16:J45 W16:W45 U16:U45 E16:E45 G57 J57 W57 U57 E57" xr:uid="{C74388EC-9241-41E7-9AE6-976AE3B48BCB}">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F3F346FA-CEBC-48BE-82A5-0D62DB5E6061}">
      <formula1>0</formula1>
    </dataValidation>
    <dataValidation type="list" allowBlank="1" showInputMessage="1" sqref="CC6:CF6 M7:S7" xr:uid="{3A31AE13-E7E3-4C73-A879-C51A373B735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668" t="s">
        <v>1389</v>
      </c>
      <c r="J7" s="2669"/>
      <c r="K7" s="2669"/>
      <c r="L7" s="2144"/>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t="s">
        <v>1505</v>
      </c>
      <c r="B27" s="1449"/>
      <c r="C27" s="1681">
        <v>921</v>
      </c>
      <c r="D27" s="1450">
        <v>1510</v>
      </c>
      <c r="E27" s="1448" t="s">
        <v>658</v>
      </c>
      <c r="F27" s="1451"/>
      <c r="G27" s="1448"/>
      <c r="H27" s="714"/>
      <c r="I27" s="1452"/>
      <c r="J27" s="1453"/>
      <c r="K27" s="1454">
        <v>20</v>
      </c>
      <c r="L27" s="1455">
        <v>0</v>
      </c>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1448" t="s">
        <v>1506</v>
      </c>
      <c r="B28" s="1449"/>
      <c r="C28" s="1681">
        <v>64</v>
      </c>
      <c r="D28" s="1450">
        <v>1210</v>
      </c>
      <c r="E28" s="1448" t="s">
        <v>727</v>
      </c>
      <c r="F28" s="1451"/>
      <c r="G28" s="1448"/>
      <c r="H28" s="714">
        <v>32</v>
      </c>
      <c r="I28" s="1452"/>
      <c r="J28" s="1453">
        <v>32</v>
      </c>
      <c r="K28" s="1454">
        <v>4</v>
      </c>
      <c r="L28" s="1455">
        <v>11</v>
      </c>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1448" t="s">
        <v>1507</v>
      </c>
      <c r="B29" s="1449"/>
      <c r="C29" s="1681">
        <v>8</v>
      </c>
      <c r="D29" s="1450">
        <v>1210</v>
      </c>
      <c r="E29" s="1448" t="s">
        <v>727</v>
      </c>
      <c r="F29" s="1451"/>
      <c r="G29" s="1448"/>
      <c r="H29" s="714">
        <v>44</v>
      </c>
      <c r="I29" s="1452"/>
      <c r="J29" s="1453">
        <v>44</v>
      </c>
      <c r="K29" s="1454">
        <v>4</v>
      </c>
      <c r="L29" s="1455">
        <v>11</v>
      </c>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1448" t="s">
        <v>1508</v>
      </c>
      <c r="B30" s="1449"/>
      <c r="C30" s="1681">
        <v>8</v>
      </c>
      <c r="D30" s="1450">
        <v>1510</v>
      </c>
      <c r="E30" s="1448" t="s">
        <v>665</v>
      </c>
      <c r="F30" s="1451"/>
      <c r="G30" s="1448" t="s">
        <v>1450</v>
      </c>
      <c r="H30" s="714">
        <v>32</v>
      </c>
      <c r="I30" s="1452"/>
      <c r="J30" s="1453">
        <v>32</v>
      </c>
      <c r="K30" s="1454">
        <v>5</v>
      </c>
      <c r="L30" s="1455">
        <v>5.375</v>
      </c>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1448" t="s">
        <v>1509</v>
      </c>
      <c r="B31" s="1449"/>
      <c r="C31" s="1681">
        <v>12</v>
      </c>
      <c r="D31" s="1450">
        <v>1210</v>
      </c>
      <c r="E31" s="1448" t="s">
        <v>665</v>
      </c>
      <c r="F31" s="1451" t="s">
        <v>667</v>
      </c>
      <c r="G31" s="1448" t="s">
        <v>1450</v>
      </c>
      <c r="H31" s="714">
        <v>32</v>
      </c>
      <c r="I31" s="1452"/>
      <c r="J31" s="1453">
        <v>32</v>
      </c>
      <c r="K31" s="2666">
        <v>6</v>
      </c>
      <c r="L31" s="2667">
        <v>2.375</v>
      </c>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1448" t="s">
        <v>1510</v>
      </c>
      <c r="B32" s="1449"/>
      <c r="C32" s="1681">
        <v>408</v>
      </c>
      <c r="D32" s="1450">
        <v>1210</v>
      </c>
      <c r="E32" s="1448" t="s">
        <v>729</v>
      </c>
      <c r="F32" s="1451" t="s">
        <v>667</v>
      </c>
      <c r="G32" s="1448" t="s">
        <v>1450</v>
      </c>
      <c r="H32" s="714">
        <v>32</v>
      </c>
      <c r="I32" s="1452" t="s">
        <v>1451</v>
      </c>
      <c r="J32" s="1453">
        <v>32</v>
      </c>
      <c r="K32" s="1454">
        <v>6</v>
      </c>
      <c r="L32" s="1455">
        <v>2.625</v>
      </c>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1448" t="s">
        <v>1511</v>
      </c>
      <c r="B33" s="1449"/>
      <c r="C33" s="1681">
        <v>8</v>
      </c>
      <c r="D33" s="1450">
        <v>1210</v>
      </c>
      <c r="E33" s="1448" t="s">
        <v>729</v>
      </c>
      <c r="F33" s="1451" t="s">
        <v>667</v>
      </c>
      <c r="G33" s="1448" t="s">
        <v>1459</v>
      </c>
      <c r="H33" s="714">
        <v>32</v>
      </c>
      <c r="I33" s="1452" t="s">
        <v>1459</v>
      </c>
      <c r="J33" s="1453">
        <v>32</v>
      </c>
      <c r="K33" s="1454">
        <v>4</v>
      </c>
      <c r="L33" s="1455">
        <v>10.625</v>
      </c>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1448" t="s">
        <v>1512</v>
      </c>
      <c r="B34" s="1449"/>
      <c r="C34" s="1681">
        <v>612</v>
      </c>
      <c r="D34" s="1450">
        <v>1210</v>
      </c>
      <c r="E34" s="1448" t="s">
        <v>729</v>
      </c>
      <c r="F34" s="1451" t="s">
        <v>667</v>
      </c>
      <c r="G34" s="1448" t="s">
        <v>1477</v>
      </c>
      <c r="H34" s="714">
        <v>44</v>
      </c>
      <c r="I34" s="1452" t="s">
        <v>1478</v>
      </c>
      <c r="J34" s="1453">
        <v>44</v>
      </c>
      <c r="K34" s="1454">
        <v>6</v>
      </c>
      <c r="L34" s="1455">
        <v>2.625</v>
      </c>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1448" t="s">
        <v>1513</v>
      </c>
      <c r="B35" s="1449"/>
      <c r="C35" s="1681">
        <v>12</v>
      </c>
      <c r="D35" s="1450">
        <v>1210</v>
      </c>
      <c r="E35" s="1448" t="s">
        <v>728</v>
      </c>
      <c r="F35" s="1451" t="s">
        <v>667</v>
      </c>
      <c r="G35" s="1448" t="s">
        <v>1487</v>
      </c>
      <c r="H35" s="714">
        <v>44</v>
      </c>
      <c r="I35" s="1452"/>
      <c r="J35" s="1453">
        <v>36</v>
      </c>
      <c r="K35" s="1454">
        <v>6</v>
      </c>
      <c r="L35" s="1455">
        <v>2.375</v>
      </c>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t="s">
        <v>1700</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1448" t="s">
        <v>1514</v>
      </c>
      <c r="B36" s="1449"/>
      <c r="C36" s="1681">
        <v>12</v>
      </c>
      <c r="D36" s="1450">
        <v>1210</v>
      </c>
      <c r="E36" s="1448" t="s">
        <v>729</v>
      </c>
      <c r="F36" s="1451" t="s">
        <v>667</v>
      </c>
      <c r="G36" s="1448" t="s">
        <v>1488</v>
      </c>
      <c r="H36" s="714">
        <v>44</v>
      </c>
      <c r="I36" s="1452" t="s">
        <v>1488</v>
      </c>
      <c r="J36" s="1453">
        <v>44</v>
      </c>
      <c r="K36" s="1454">
        <v>4</v>
      </c>
      <c r="L36" s="1455">
        <v>10.625</v>
      </c>
      <c r="M36" s="1456"/>
      <c r="N36" s="1457"/>
      <c r="O36" s="1458"/>
      <c r="P36" s="1459"/>
      <c r="Q36" s="1409" t="b">
        <v>0</v>
      </c>
      <c r="R36" s="470" t="b">
        <v>0</v>
      </c>
      <c r="S36" s="464" t="b">
        <f t="shared" si="1"/>
        <v>0</v>
      </c>
      <c r="T36" s="464" t="b">
        <f t="shared" si="2"/>
        <v>0</v>
      </c>
      <c r="U36" s="628" t="s">
        <v>815</v>
      </c>
      <c r="V36" s="378"/>
      <c r="W36" s="378"/>
      <c r="X36" s="378"/>
      <c r="Y36" s="378"/>
      <c r="Z36" s="378"/>
      <c r="AA36" s="378"/>
      <c r="AB36" s="378" t="s">
        <v>1701</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t="s">
        <v>1702</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t="s">
        <v>1703</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1695</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KyY9uSgXEVyaPIev6xYvXpZiNk4INyNsvdxVrFpQi4MvLp36tcgH8caF9Avv6zBJRyaBfQ1I3n2wfuVaiseSfw==" saltValue="PpTnbXJDnFHVP4RjaNWOpA=="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93" priority="12" stopIfTrue="1" operator="equal">
      <formula>""</formula>
    </cfRule>
  </conditionalFormatting>
  <conditionalFormatting sqref="G7">
    <cfRule type="cellIs" dxfId="192" priority="13" stopIfTrue="1" operator="equal">
      <formula>"NO PAINT"</formula>
    </cfRule>
  </conditionalFormatting>
  <conditionalFormatting sqref="I7:K7">
    <cfRule type="expression" dxfId="191" priority="14" stopIfTrue="1">
      <formula>NOT(OR(COUNTIF(masterFinishList, $I$7) &gt; 0, COUNTIF($I$7, "Other:*") &gt; 0))</formula>
    </cfRule>
  </conditionalFormatting>
  <conditionalFormatting sqref="C27:C42 A27:A42">
    <cfRule type="expression" dxfId="190" priority="6">
      <formula>AND(NOT($S$1),$C27=0,OR($R$1="",$R$1="M"))</formula>
    </cfRule>
  </conditionalFormatting>
  <conditionalFormatting sqref="F27:F42">
    <cfRule type="expression" dxfId="189" priority="10">
      <formula>OR(ISERROR(VLOOKUP(E27,$V$27:$V$42,1,FALSE)),ISERROR(VLOOKUP(F27,$AB$27:$AB$42,1,FALSE)))</formula>
    </cfRule>
  </conditionalFormatting>
  <conditionalFormatting sqref="D27:D42">
    <cfRule type="expression" dxfId="188" priority="8">
      <formula>OR(ISERROR(VLOOKUP(TRIM(D27),$AE$27:$AE$300,1,FALSE)),AND(NOT(ISERROR(VLOOKUP(E27,$V$27:$V$300,1,FALSE))),NOT(ISERROR(VLOOKUP(TRIM(D27),$U$27:$U$300,1,FALSE)))))</formula>
    </cfRule>
  </conditionalFormatting>
  <conditionalFormatting sqref="E27:E42">
    <cfRule type="expression" dxfId="187" priority="9">
      <formula>OR(ISERROR(VLOOKUP(E27,$W$27:$W$42,1,FALSE)),AND(NOT(ISERROR(VLOOKUP(E27,$V$27:$V$300,1,FALSE))),NOT(ISERROR(VLOOKUP(D27,$U$27:$U$300,1,FALSE)))))</formula>
    </cfRule>
  </conditionalFormatting>
  <conditionalFormatting sqref="I7:L7">
    <cfRule type="cellIs" dxfId="186" priority="7" operator="equal">
      <formula>0</formula>
    </cfRule>
  </conditionalFormatting>
  <conditionalFormatting sqref="A27:P42">
    <cfRule type="expression" dxfId="185" priority="11">
      <formula>$Q27</formula>
    </cfRule>
  </conditionalFormatting>
  <conditionalFormatting sqref="A36:A42">
    <cfRule type="expression" dxfId="184" priority="5">
      <formula>AND(NOT($S$1),$C36=0,OR($R$1="",$R$1="M"))</formula>
    </cfRule>
  </conditionalFormatting>
  <conditionalFormatting sqref="G27:G42">
    <cfRule type="expression" dxfId="183" priority="4">
      <formula>NOT(VLOOKUP($E27,$W$27:$AA$42,2,FALSE))</formula>
    </cfRule>
  </conditionalFormatting>
  <conditionalFormatting sqref="I27:I42">
    <cfRule type="expression" dxfId="182" priority="3">
      <formula>NOT(VLOOKUP($E27,$W$27:$AA$42,4,FALSE))</formula>
    </cfRule>
  </conditionalFormatting>
  <conditionalFormatting sqref="H27">
    <cfRule type="expression" dxfId="181" priority="2">
      <formula>NOT(VLOOKUP($E27,$W$27:$AA$42,3,FALSE))</formula>
    </cfRule>
  </conditionalFormatting>
  <conditionalFormatting sqref="J27:J42">
    <cfRule type="expression" dxfId="18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136</vt:i4>
      </vt:variant>
    </vt:vector>
  </HeadingPairs>
  <TitlesOfParts>
    <vt:vector size="191"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L (4)</vt:lpstr>
      <vt:lpstr>L (5)</vt:lpstr>
      <vt:lpstr>L (6)</vt:lpstr>
      <vt:lpstr>L (7)</vt:lpstr>
      <vt:lpstr>L (8)</vt:lpstr>
      <vt:lpstr>L (9)</vt:lpstr>
      <vt:lpstr>L (10)</vt:lpstr>
      <vt:lpstr>L (11)</vt:lpstr>
      <vt:lpstr>L (12)</vt:lpstr>
      <vt:lpstr>L (13)</vt:lpstr>
      <vt:lpstr>L (14)</vt:lpstr>
      <vt:lpstr>L (15)</vt:lpstr>
      <vt:lpstr>L (16)</vt:lpstr>
      <vt:lpstr>L (17)</vt:lpstr>
      <vt:lpstr>L (18)</vt:lpstr>
      <vt:lpstr>L (19)</vt:lpstr>
      <vt:lpstr>L (20)</vt:lpstr>
      <vt:lpstr>L (21)</vt:lpstr>
      <vt:lpstr>K (1)</vt:lpstr>
      <vt:lpstr>S (1)</vt:lpstr>
      <vt:lpstr>S (2)</vt:lpstr>
      <vt:lpstr>S (3)</vt:lpstr>
      <vt:lpstr>S (4)</vt:lpstr>
      <vt:lpstr>G (1)</vt:lpstr>
      <vt:lpstr>G (2)</vt:lpstr>
      <vt:lpstr>J (1)</vt:lpstr>
      <vt:lpstr>J (2)</vt:lpstr>
      <vt:lpstr>J (3)</vt:lpstr>
      <vt:lpstr>J (4)</vt:lpstr>
      <vt:lpstr>B (1)</vt:lpstr>
      <vt:lpstr>'B (1)'!masterFinishList</vt:lpstr>
      <vt:lpstr>'C (1)'!masterFinishList</vt:lpstr>
      <vt:lpstr>'G (1)'!masterFinishList</vt:lpstr>
      <vt:lpstr>'G (2)'!masterFinishList</vt:lpstr>
      <vt:lpstr>'J (1)'!masterFinishList</vt:lpstr>
      <vt:lpstr>'J (2)'!masterFinishList</vt:lpstr>
      <vt:lpstr>'J (3)'!masterFinishList</vt:lpstr>
      <vt:lpstr>'J (4)'!masterFinishList</vt:lpstr>
      <vt:lpstr>'K (1)'!masterFinishList</vt:lpstr>
      <vt:lpstr>'L (1)'!masterFinishList</vt:lpstr>
      <vt:lpstr>'L (10)'!masterFinishList</vt:lpstr>
      <vt:lpstr>'L (11)'!masterFinishList</vt:lpstr>
      <vt:lpstr>'L (12)'!masterFinishList</vt:lpstr>
      <vt:lpstr>'L (13)'!masterFinishList</vt:lpstr>
      <vt:lpstr>'L (14)'!masterFinishList</vt:lpstr>
      <vt:lpstr>'L (15)'!masterFinishList</vt:lpstr>
      <vt:lpstr>'L (16)'!masterFinishList</vt:lpstr>
      <vt:lpstr>'L (17)'!masterFinishList</vt:lpstr>
      <vt:lpstr>'L (18)'!masterFinishList</vt:lpstr>
      <vt:lpstr>'L (19)'!masterFinishList</vt:lpstr>
      <vt:lpstr>'L (2)'!masterFinishList</vt:lpstr>
      <vt:lpstr>'L (20)'!masterFinishList</vt:lpstr>
      <vt:lpstr>'L (21)'!masterFinishList</vt:lpstr>
      <vt:lpstr>'L (3)'!masterFinishList</vt:lpstr>
      <vt:lpstr>'L (4)'!masterFinishList</vt:lpstr>
      <vt:lpstr>'L (5)'!masterFinishList</vt:lpstr>
      <vt:lpstr>'L (6)'!masterFinishList</vt:lpstr>
      <vt:lpstr>'L (7)'!masterFinishList</vt:lpstr>
      <vt:lpstr>'L (8)'!masterFinishList</vt:lpstr>
      <vt:lpstr>'L (9)'!masterFinishList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(10)'!Pos</vt:lpstr>
      <vt:lpstr>'L (11)'!Pos</vt:lpstr>
      <vt:lpstr>'L (12)'!Pos</vt:lpstr>
      <vt:lpstr>'L (13)'!Pos</vt:lpstr>
      <vt:lpstr>'L (14)'!Pos</vt:lpstr>
      <vt:lpstr>'L (15)'!Pos</vt:lpstr>
      <vt:lpstr>'L (16)'!Pos</vt:lpstr>
      <vt:lpstr>'L (17)'!Pos</vt:lpstr>
      <vt:lpstr>'L (18)'!Pos</vt:lpstr>
      <vt:lpstr>'L (19)'!Pos</vt:lpstr>
      <vt:lpstr>'L (2)'!Pos</vt:lpstr>
      <vt:lpstr>'L (20)'!Pos</vt:lpstr>
      <vt:lpstr>'L (21)'!Pos</vt:lpstr>
      <vt:lpstr>'L (3)'!Pos</vt:lpstr>
      <vt:lpstr>'L (4)'!Pos</vt:lpstr>
      <vt:lpstr>'L (5)'!Pos</vt:lpstr>
      <vt:lpstr>'L (6)'!Pos</vt:lpstr>
      <vt:lpstr>'L (7)'!Pos</vt:lpstr>
      <vt:lpstr>'L (8)'!Pos</vt:lpstr>
      <vt:lpstr>'L (9)'!Pos</vt:lpstr>
      <vt:lpstr>Pos</vt:lpstr>
      <vt:lpstr>'B (1)'!Print_Area</vt:lpstr>
      <vt:lpstr>B_A!Print_Area</vt:lpstr>
      <vt:lpstr>B_B!Print_Area</vt:lpstr>
      <vt:lpstr>'C (1)'!Print_Area</vt:lpstr>
      <vt:lpstr>C_A!Print_Area</vt:lpstr>
      <vt:lpstr>'Discrepancy Check'!Print_Area</vt:lpstr>
      <vt:lpstr>'G (1)'!Print_Area</vt:lpstr>
      <vt:lpstr>'G (2)'!Print_Area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(10)'!Print_Area</vt:lpstr>
      <vt:lpstr>'L (11)'!Print_Area</vt:lpstr>
      <vt:lpstr>'L (12)'!Print_Area</vt:lpstr>
      <vt:lpstr>'L (13)'!Print_Area</vt:lpstr>
      <vt:lpstr>'L (14)'!Print_Area</vt:lpstr>
      <vt:lpstr>'L (15)'!Print_Area</vt:lpstr>
      <vt:lpstr>'L (16)'!Print_Area</vt:lpstr>
      <vt:lpstr>'L (17)'!Print_Area</vt:lpstr>
      <vt:lpstr>'L (18)'!Print_Area</vt:lpstr>
      <vt:lpstr>'L (19)'!Print_Area</vt:lpstr>
      <vt:lpstr>'L (2)'!Print_Area</vt:lpstr>
      <vt:lpstr>'L (20)'!Print_Area</vt:lpstr>
      <vt:lpstr>'L (21)'!Print_Area</vt:lpstr>
      <vt:lpstr>'L (3)'!Print_Area</vt:lpstr>
      <vt:lpstr>'L (4)'!Print_Area</vt:lpstr>
      <vt:lpstr>'L (5)'!Print_Area</vt:lpstr>
      <vt:lpstr>'L (6)'!Print_Area</vt:lpstr>
      <vt:lpstr>'L (7)'!Print_Area</vt:lpstr>
      <vt:lpstr>'L (8)'!Print_Area</vt:lpstr>
      <vt:lpstr>'L (9)'!Print_Area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(10)'!Type</vt:lpstr>
      <vt:lpstr>'L (11)'!Type</vt:lpstr>
      <vt:lpstr>'L (12)'!Type</vt:lpstr>
      <vt:lpstr>'L (13)'!Type</vt:lpstr>
      <vt:lpstr>'L (14)'!Type</vt:lpstr>
      <vt:lpstr>'L (15)'!Type</vt:lpstr>
      <vt:lpstr>'L (16)'!Type</vt:lpstr>
      <vt:lpstr>'L (17)'!Type</vt:lpstr>
      <vt:lpstr>'L (18)'!Type</vt:lpstr>
      <vt:lpstr>'L (19)'!Type</vt:lpstr>
      <vt:lpstr>'L (2)'!Type</vt:lpstr>
      <vt:lpstr>'L (20)'!Type</vt:lpstr>
      <vt:lpstr>'L (21)'!Type</vt:lpstr>
      <vt:lpstr>'L (3)'!Type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2023-05-12T15:00:20Z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